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ystem Analyst\Downloads\requesttouploadtheattachedpublication\"/>
    </mc:Choice>
  </mc:AlternateContent>
  <bookViews>
    <workbookView xWindow="0" yWindow="0" windowWidth="19160" windowHeight="6560"/>
  </bookViews>
  <sheets>
    <sheet name="2021" sheetId="6" r:id="rId1"/>
    <sheet name="2022" sheetId="3" r:id="rId2"/>
    <sheet name="2023" sheetId="4" r:id="rId3"/>
    <sheet name="2024"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63" i="5" l="1"/>
  <c r="Y362" i="5"/>
  <c r="Y361" i="5"/>
  <c r="Y360" i="5"/>
  <c r="Y359" i="5"/>
  <c r="Y358" i="5"/>
  <c r="Y357" i="5"/>
  <c r="Y356" i="5"/>
  <c r="Y355" i="5"/>
  <c r="Y354" i="5"/>
  <c r="Y353" i="5"/>
  <c r="Y352" i="5"/>
  <c r="Y351" i="5"/>
  <c r="Y350" i="5"/>
  <c r="Y349" i="5"/>
  <c r="Y348" i="5"/>
  <c r="Y347" i="5"/>
  <c r="Y346" i="5"/>
  <c r="Y345" i="5"/>
  <c r="Y344" i="5"/>
  <c r="Y343" i="5"/>
  <c r="Y342" i="5"/>
  <c r="Y341" i="5"/>
  <c r="Y340" i="5"/>
  <c r="Y339" i="5"/>
  <c r="Y338" i="5"/>
  <c r="Y337" i="5"/>
  <c r="Y336" i="5"/>
  <c r="Y335" i="5"/>
  <c r="Y334" i="5"/>
  <c r="Y333" i="5"/>
  <c r="Y332" i="5"/>
  <c r="Y331" i="5"/>
  <c r="Y330" i="5"/>
  <c r="Y329" i="5"/>
  <c r="Y328" i="5"/>
  <c r="Y327" i="5"/>
  <c r="Y326" i="5"/>
  <c r="Y325" i="5"/>
  <c r="Y324" i="5"/>
  <c r="Y323" i="5"/>
  <c r="Y322" i="5"/>
  <c r="Y321" i="5"/>
  <c r="Y320" i="5"/>
  <c r="Y319" i="5"/>
  <c r="Y318" i="5"/>
  <c r="Y317" i="5"/>
  <c r="Y316" i="5"/>
  <c r="Y315" i="5"/>
  <c r="Y314" i="5"/>
  <c r="Y313" i="5"/>
  <c r="Y312" i="5"/>
  <c r="Y311" i="5"/>
  <c r="Y310" i="5"/>
  <c r="Y309" i="5"/>
  <c r="Y308" i="5"/>
  <c r="Y307" i="5"/>
  <c r="Y306" i="5"/>
  <c r="Y305" i="5"/>
  <c r="Y304" i="5"/>
  <c r="Y303" i="5"/>
  <c r="Y302" i="5"/>
  <c r="Y301" i="5"/>
  <c r="Y300" i="5"/>
  <c r="Y299" i="5"/>
  <c r="Y298" i="5"/>
  <c r="Y297" i="5"/>
  <c r="Y296" i="5"/>
  <c r="Y295" i="5"/>
  <c r="Y294" i="5"/>
  <c r="Y293" i="5"/>
  <c r="Y292" i="5"/>
  <c r="Y291" i="5"/>
  <c r="Y290" i="5"/>
  <c r="Y289" i="5"/>
  <c r="Y288" i="5"/>
  <c r="Y287" i="5"/>
  <c r="Y286" i="5"/>
  <c r="Y285" i="5"/>
  <c r="Y284" i="5"/>
  <c r="Y283" i="5"/>
  <c r="Y282" i="5"/>
  <c r="Y281" i="5"/>
  <c r="Y280" i="5"/>
  <c r="Y279" i="5"/>
  <c r="Y278" i="5"/>
  <c r="Y277" i="5"/>
  <c r="Y276" i="5"/>
  <c r="Y275" i="5"/>
  <c r="Y274" i="5"/>
  <c r="Y273" i="5"/>
  <c r="Y272" i="5"/>
  <c r="Y271" i="5"/>
  <c r="Y270" i="5"/>
  <c r="Y268" i="5"/>
  <c r="Y267" i="5"/>
  <c r="Y266" i="5"/>
  <c r="Y265" i="5"/>
  <c r="Y264" i="5"/>
  <c r="Y263" i="5"/>
  <c r="Y262" i="5"/>
  <c r="Y261" i="5"/>
  <c r="Y260" i="5"/>
  <c r="Y259" i="5"/>
  <c r="Y258" i="5"/>
  <c r="Y257" i="5"/>
  <c r="Y256" i="5"/>
  <c r="Y255" i="5"/>
  <c r="Y254" i="5"/>
  <c r="Y253" i="5"/>
  <c r="Y252" i="5"/>
  <c r="Y251" i="5"/>
  <c r="Y250" i="5"/>
  <c r="Y249" i="5"/>
  <c r="Y248" i="5"/>
  <c r="Y247" i="5"/>
  <c r="Y246" i="5"/>
  <c r="Y245" i="5"/>
  <c r="Y244" i="5"/>
  <c r="Y243" i="5"/>
  <c r="Y242" i="5"/>
  <c r="Y241" i="5"/>
  <c r="Y240" i="5"/>
  <c r="Y239" i="5"/>
  <c r="Y238" i="5"/>
  <c r="Y237" i="5"/>
  <c r="Y236" i="5"/>
  <c r="Y235" i="5"/>
  <c r="Y234" i="5"/>
  <c r="Y233" i="5"/>
  <c r="Y232" i="5"/>
  <c r="Y231" i="5"/>
  <c r="Y230" i="5"/>
  <c r="Y229" i="5"/>
  <c r="Y228" i="5"/>
  <c r="Y227" i="5"/>
  <c r="Y226" i="5"/>
  <c r="Y225" i="5"/>
  <c r="Y224" i="5"/>
  <c r="Y223" i="5"/>
  <c r="Y222" i="5"/>
  <c r="Y221" i="5"/>
  <c r="Y220" i="5"/>
  <c r="Y219" i="5"/>
  <c r="Y218" i="5"/>
  <c r="Y217" i="5"/>
  <c r="Y216" i="5"/>
  <c r="Y215" i="5"/>
  <c r="Y214" i="5"/>
  <c r="Y213" i="5"/>
  <c r="Y212" i="5"/>
  <c r="Y211" i="5"/>
  <c r="Y210" i="5"/>
  <c r="Y209" i="5"/>
  <c r="Y208" i="5"/>
  <c r="Y207" i="5"/>
  <c r="Y206" i="5"/>
  <c r="Y205" i="5"/>
  <c r="Y204" i="5"/>
  <c r="Y203" i="5"/>
  <c r="Y202" i="5"/>
  <c r="Y201" i="5"/>
  <c r="Y200" i="5"/>
  <c r="Y199" i="5"/>
  <c r="Y198" i="5"/>
  <c r="Y197" i="5"/>
  <c r="Y196" i="5"/>
  <c r="Y195" i="5"/>
  <c r="Y194" i="5"/>
  <c r="Y193" i="5"/>
  <c r="Y192" i="5"/>
  <c r="Y191" i="5"/>
  <c r="Y190" i="5"/>
  <c r="Y189" i="5"/>
  <c r="Y188" i="5"/>
  <c r="Y187" i="5"/>
  <c r="Y186" i="5"/>
  <c r="Y185" i="5"/>
  <c r="Y183" i="5"/>
  <c r="Y182" i="5"/>
  <c r="Y181" i="5"/>
  <c r="Y180" i="5"/>
  <c r="Y179" i="5"/>
  <c r="Y178" i="5"/>
  <c r="Y177" i="5"/>
  <c r="Y176" i="5"/>
  <c r="Y175" i="5"/>
  <c r="Y174" i="5"/>
  <c r="Y173" i="5"/>
  <c r="Y172" i="5"/>
  <c r="Y171" i="5"/>
  <c r="Y170" i="5"/>
  <c r="Y169" i="5"/>
  <c r="Y168" i="5"/>
  <c r="Y167" i="5"/>
  <c r="Y166" i="5"/>
  <c r="Y165" i="5"/>
  <c r="Y164" i="5"/>
  <c r="Y163" i="5"/>
  <c r="Y162" i="5"/>
  <c r="Y161" i="5"/>
  <c r="Y160" i="5"/>
  <c r="Y159" i="5"/>
  <c r="Y158" i="5"/>
  <c r="Y157" i="5"/>
  <c r="Y156" i="5"/>
  <c r="Y155" i="5"/>
  <c r="Y154" i="5"/>
  <c r="Y153" i="5"/>
  <c r="Y152" i="5"/>
  <c r="Y151" i="5"/>
  <c r="Y150" i="5"/>
  <c r="Y149" i="5"/>
  <c r="Y148" i="5"/>
  <c r="Y147" i="5"/>
  <c r="Y146" i="5"/>
  <c r="Y145" i="5"/>
  <c r="Y144" i="5"/>
  <c r="Y143" i="5"/>
  <c r="Y142" i="5"/>
  <c r="Y141" i="5"/>
  <c r="Y140" i="5"/>
  <c r="Y139" i="5"/>
  <c r="Y138" i="5"/>
  <c r="Y137" i="5"/>
  <c r="Y136" i="5"/>
  <c r="Y135" i="5"/>
  <c r="Y134" i="5"/>
  <c r="Y133" i="5"/>
  <c r="Y132" i="5"/>
  <c r="Y131" i="5"/>
  <c r="Y130" i="5"/>
  <c r="Y129" i="5"/>
  <c r="Y128" i="5"/>
  <c r="Y127" i="5"/>
  <c r="Y126" i="5"/>
  <c r="Y125" i="5"/>
  <c r="Y124" i="5"/>
  <c r="Y123" i="5"/>
  <c r="Y122" i="5"/>
  <c r="Y121" i="5"/>
  <c r="Y120" i="5"/>
  <c r="Y118" i="5"/>
  <c r="Y117" i="5"/>
  <c r="Y116" i="5"/>
  <c r="Y115" i="5"/>
  <c r="Y114" i="5"/>
  <c r="Y113" i="5"/>
  <c r="Y112" i="5"/>
  <c r="Y111" i="5"/>
  <c r="Y109" i="5"/>
  <c r="Y108" i="5"/>
  <c r="Y107" i="5"/>
  <c r="Y106" i="5"/>
  <c r="Y105" i="5"/>
  <c r="Y104" i="5"/>
  <c r="Y103" i="5"/>
  <c r="Y102" i="5"/>
  <c r="Y101" i="5"/>
  <c r="Y100" i="5"/>
  <c r="Y99" i="5"/>
  <c r="Y98" i="5"/>
  <c r="Y97" i="5"/>
  <c r="Y96" i="5"/>
  <c r="Y95" i="5"/>
  <c r="Y94" i="5"/>
  <c r="Y93" i="5"/>
  <c r="Y92" i="5"/>
  <c r="Y91" i="5"/>
  <c r="Y90" i="5"/>
  <c r="Y89" i="5"/>
  <c r="Y88" i="5"/>
  <c r="Y87" i="5"/>
  <c r="Y86" i="5"/>
  <c r="Y85" i="5"/>
  <c r="Y84" i="5"/>
  <c r="Y83" i="5"/>
  <c r="Y82" i="5"/>
  <c r="Y81" i="5"/>
  <c r="Y80" i="5"/>
  <c r="Y79" i="5"/>
  <c r="Y78" i="5"/>
  <c r="Y77" i="5"/>
  <c r="Y76" i="5"/>
  <c r="Y75" i="5"/>
  <c r="Y74" i="5"/>
  <c r="Y73" i="5"/>
  <c r="Y72" i="5"/>
  <c r="Y71" i="5"/>
  <c r="Y70" i="5"/>
  <c r="Y69" i="5"/>
  <c r="Y68" i="5"/>
  <c r="Y67" i="5"/>
  <c r="Y65" i="5"/>
  <c r="Y64" i="5"/>
  <c r="Y63" i="5"/>
  <c r="Y62" i="5"/>
  <c r="Y61" i="5"/>
  <c r="Y60" i="5"/>
  <c r="Y59" i="5"/>
  <c r="Y58" i="5"/>
  <c r="Y57" i="5"/>
  <c r="Y56" i="5"/>
  <c r="Y55"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1" i="5"/>
  <c r="Y10" i="5"/>
  <c r="Y9" i="5"/>
  <c r="Y8" i="5"/>
  <c r="Y7" i="5"/>
  <c r="Y6" i="5"/>
  <c r="Y5" i="5"/>
  <c r="Y4" i="5"/>
  <c r="Y3" i="5"/>
  <c r="Y2" i="5"/>
  <c r="U305" i="4"/>
  <c r="U304" i="4"/>
  <c r="U303" i="4"/>
  <c r="U302" i="4"/>
  <c r="U301" i="4"/>
  <c r="U300" i="4"/>
  <c r="U299" i="4"/>
  <c r="U298" i="4"/>
  <c r="U297" i="4"/>
  <c r="U296" i="4"/>
  <c r="U295" i="4"/>
  <c r="U294" i="4"/>
  <c r="U293" i="4"/>
  <c r="U292" i="4"/>
  <c r="U291" i="4"/>
  <c r="U290" i="4"/>
  <c r="U289" i="4"/>
  <c r="U288" i="4"/>
  <c r="U287" i="4"/>
  <c r="U286" i="4"/>
  <c r="U285" i="4"/>
  <c r="U284" i="4"/>
  <c r="U283" i="4"/>
  <c r="U282" i="4"/>
  <c r="U281" i="4"/>
  <c r="U280" i="4"/>
  <c r="U279" i="4"/>
  <c r="U278" i="4"/>
  <c r="U277" i="4"/>
  <c r="U276" i="4"/>
  <c r="U275" i="4"/>
  <c r="U274" i="4"/>
  <c r="U273" i="4"/>
  <c r="U272" i="4"/>
  <c r="U271" i="4"/>
  <c r="U270" i="4"/>
  <c r="U269" i="4"/>
  <c r="U268" i="4"/>
  <c r="U267" i="4"/>
  <c r="U266" i="4"/>
  <c r="U265" i="4"/>
  <c r="U264" i="4"/>
  <c r="U263" i="4"/>
  <c r="U262" i="4"/>
  <c r="U261" i="4"/>
  <c r="U260" i="4"/>
  <c r="U259" i="4"/>
  <c r="U258" i="4"/>
  <c r="U257" i="4"/>
  <c r="U256" i="4"/>
  <c r="U255" i="4"/>
  <c r="U254" i="4"/>
  <c r="U253" i="4"/>
  <c r="U252" i="4"/>
  <c r="U251" i="4"/>
  <c r="U250" i="4"/>
  <c r="U249" i="4"/>
  <c r="U248" i="4"/>
  <c r="U247" i="4"/>
  <c r="U246" i="4"/>
  <c r="U245" i="4"/>
  <c r="U244" i="4"/>
  <c r="U243" i="4"/>
  <c r="U242" i="4"/>
  <c r="U241" i="4"/>
  <c r="U240" i="4"/>
  <c r="U239" i="4"/>
  <c r="U238" i="4"/>
  <c r="U237" i="4"/>
  <c r="U236" i="4"/>
  <c r="U235" i="4"/>
  <c r="U234" i="4"/>
  <c r="U233" i="4"/>
  <c r="U232" i="4"/>
  <c r="U231" i="4"/>
  <c r="U230" i="4"/>
  <c r="U229" i="4"/>
  <c r="U228" i="4"/>
  <c r="U227" i="4"/>
  <c r="U225" i="4"/>
  <c r="U224" i="4"/>
  <c r="U223" i="4"/>
  <c r="U222" i="4"/>
  <c r="U221" i="4"/>
  <c r="U220" i="4"/>
  <c r="U219" i="4"/>
  <c r="U218" i="4"/>
  <c r="U217" i="4"/>
  <c r="U216" i="4"/>
  <c r="U215" i="4"/>
  <c r="U214" i="4"/>
  <c r="U213" i="4"/>
  <c r="U212" i="4"/>
  <c r="U211" i="4"/>
  <c r="U210" i="4"/>
  <c r="U209" i="4"/>
  <c r="U208" i="4"/>
  <c r="U207" i="4"/>
  <c r="U206" i="4"/>
  <c r="U205" i="4"/>
  <c r="U204" i="4"/>
  <c r="U203" i="4"/>
  <c r="U202" i="4"/>
  <c r="U201" i="4"/>
  <c r="U200" i="4"/>
  <c r="U199" i="4"/>
  <c r="U198" i="4"/>
  <c r="U197" i="4"/>
  <c r="U196" i="4"/>
  <c r="U195" i="4"/>
  <c r="U194"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1" i="4"/>
  <c r="U160" i="4"/>
  <c r="U159" i="4"/>
  <c r="U158" i="4"/>
  <c r="U157" i="4"/>
  <c r="U156" i="4"/>
  <c r="U155"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3" i="4"/>
  <c r="U72" i="4"/>
  <c r="U71" i="4"/>
  <c r="U68" i="4"/>
  <c r="U67" i="4"/>
  <c r="U66" i="4"/>
  <c r="U65" i="4"/>
  <c r="U64" i="4"/>
  <c r="U63" i="4"/>
  <c r="U62" i="4"/>
  <c r="U61" i="4"/>
  <c r="U60" i="4"/>
  <c r="U59" i="4"/>
  <c r="U58" i="4"/>
  <c r="U57" i="4"/>
  <c r="U56" i="4"/>
  <c r="U55" i="4"/>
  <c r="U54" i="4"/>
  <c r="U53" i="4"/>
  <c r="U52" i="4"/>
  <c r="U51" i="4"/>
  <c r="U50" i="4"/>
  <c r="U49" i="4"/>
  <c r="U48" i="4"/>
  <c r="U45" i="4"/>
  <c r="U44" i="4"/>
  <c r="U43" i="4"/>
  <c r="U42" i="4"/>
  <c r="U41" i="4"/>
  <c r="U40" i="4"/>
  <c r="U39" i="4"/>
  <c r="U37" i="4"/>
  <c r="U36" i="4"/>
  <c r="U35" i="4"/>
  <c r="U34" i="4"/>
  <c r="U33" i="4"/>
  <c r="U32" i="4"/>
  <c r="U31" i="4"/>
  <c r="U30" i="4"/>
  <c r="U29" i="4"/>
  <c r="U28" i="4"/>
  <c r="U27" i="4"/>
  <c r="U26" i="4"/>
  <c r="U25" i="4"/>
  <c r="U24" i="4"/>
  <c r="U23" i="4"/>
  <c r="U22" i="4"/>
  <c r="U20" i="4"/>
  <c r="U19" i="4"/>
  <c r="U18" i="4"/>
  <c r="U16" i="4"/>
  <c r="U15" i="4"/>
  <c r="U14" i="4"/>
  <c r="U13" i="4"/>
  <c r="U12" i="4"/>
  <c r="U11" i="4"/>
  <c r="U10" i="4"/>
  <c r="U9" i="4"/>
  <c r="U7" i="4"/>
  <c r="U6" i="4"/>
  <c r="U5" i="4"/>
  <c r="U4" i="4"/>
  <c r="U3" i="4"/>
  <c r="U2" i="4"/>
  <c r="U253" i="3"/>
  <c r="U252" i="3"/>
  <c r="U251" i="3"/>
  <c r="U250" i="3"/>
  <c r="U249" i="3"/>
  <c r="U248" i="3"/>
  <c r="U247" i="3"/>
  <c r="U246" i="3"/>
  <c r="U245" i="3"/>
  <c r="U244" i="3"/>
  <c r="U243" i="3"/>
  <c r="U242" i="3"/>
  <c r="U241" i="3"/>
  <c r="U240" i="3"/>
  <c r="U239" i="3"/>
  <c r="U238" i="3"/>
  <c r="U237" i="3"/>
  <c r="U236" i="3"/>
  <c r="U235" i="3"/>
  <c r="U234" i="3"/>
  <c r="U233" i="3"/>
  <c r="U232" i="3"/>
  <c r="U231" i="3"/>
  <c r="U230" i="3"/>
  <c r="U229" i="3"/>
  <c r="U228" i="3"/>
  <c r="U227" i="3"/>
  <c r="U226" i="3"/>
  <c r="U225" i="3"/>
  <c r="U224" i="3"/>
  <c r="U223" i="3"/>
  <c r="U222" i="3"/>
  <c r="U221" i="3"/>
  <c r="U220" i="3"/>
  <c r="U219" i="3"/>
  <c r="U218" i="3"/>
  <c r="U217" i="3"/>
  <c r="U216" i="3"/>
  <c r="U215" i="3"/>
  <c r="U214" i="3"/>
  <c r="U213" i="3"/>
  <c r="U212" i="3"/>
  <c r="U211" i="3"/>
  <c r="U210" i="3"/>
  <c r="U209" i="3"/>
  <c r="U208" i="3"/>
  <c r="U207" i="3"/>
  <c r="U205" i="3"/>
  <c r="U204" i="3"/>
  <c r="U203" i="3"/>
  <c r="U202" i="3"/>
  <c r="U201" i="3"/>
  <c r="U200" i="3"/>
  <c r="U199" i="3"/>
  <c r="U198" i="3"/>
  <c r="U197" i="3"/>
  <c r="U196"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U136" i="3"/>
  <c r="U135" i="3"/>
  <c r="U134" i="3"/>
  <c r="U133" i="3"/>
  <c r="U131" i="3"/>
  <c r="U130" i="3"/>
  <c r="U129" i="3"/>
  <c r="U128" i="3"/>
  <c r="U127" i="3"/>
  <c r="U126" i="3"/>
  <c r="U125" i="3"/>
  <c r="U124" i="3"/>
  <c r="U123" i="3"/>
  <c r="U122" i="3"/>
  <c r="U121" i="3"/>
  <c r="U120" i="3"/>
  <c r="U119" i="3"/>
  <c r="U118" i="3"/>
  <c r="U117" i="3"/>
  <c r="U116" i="3"/>
  <c r="U115" i="3"/>
  <c r="U114" i="3"/>
  <c r="U113" i="3"/>
  <c r="U112" i="3"/>
  <c r="U111" i="3"/>
  <c r="U110" i="3"/>
  <c r="U109" i="3"/>
  <c r="U108" i="3"/>
  <c r="U107" i="3"/>
  <c r="U105" i="3"/>
  <c r="U104" i="3"/>
  <c r="U103" i="3"/>
  <c r="U102" i="3"/>
  <c r="U101" i="3"/>
  <c r="U100" i="3"/>
  <c r="U99" i="3"/>
  <c r="U98" i="3"/>
  <c r="U96" i="3"/>
  <c r="U95" i="3"/>
  <c r="U94" i="3"/>
  <c r="U93" i="3"/>
  <c r="U92" i="3"/>
  <c r="U91" i="3"/>
  <c r="U90" i="3"/>
  <c r="U89" i="3"/>
  <c r="U88" i="3"/>
  <c r="U87" i="3"/>
  <c r="U85" i="3"/>
  <c r="U84" i="3"/>
  <c r="U83" i="3"/>
  <c r="U82" i="3"/>
  <c r="U80" i="3"/>
  <c r="U79" i="3"/>
  <c r="U78" i="3"/>
  <c r="U77" i="3"/>
  <c r="U74" i="3"/>
  <c r="U73" i="3"/>
  <c r="U72" i="3"/>
  <c r="U70" i="3"/>
  <c r="U69" i="3"/>
  <c r="U66" i="3"/>
  <c r="U65" i="3"/>
  <c r="U64" i="3"/>
  <c r="U63" i="3"/>
  <c r="U62" i="3"/>
  <c r="U60" i="3"/>
  <c r="U58" i="3"/>
  <c r="U57" i="3"/>
  <c r="U55" i="3"/>
  <c r="U54" i="3"/>
  <c r="U53" i="3"/>
  <c r="U52" i="3"/>
  <c r="U51" i="3"/>
  <c r="U50" i="3"/>
  <c r="U48" i="3"/>
  <c r="U47" i="3"/>
  <c r="U46" i="3"/>
  <c r="U45" i="3"/>
  <c r="U44" i="3"/>
  <c r="U43" i="3"/>
  <c r="U42" i="3"/>
  <c r="U41" i="3"/>
  <c r="U40" i="3"/>
  <c r="U39" i="3"/>
  <c r="U38" i="3"/>
  <c r="U37" i="3"/>
  <c r="U35" i="3"/>
  <c r="U33" i="3"/>
  <c r="U32" i="3"/>
  <c r="U31" i="3"/>
  <c r="U30" i="3"/>
  <c r="U29" i="3"/>
  <c r="U28" i="3"/>
  <c r="U27" i="3"/>
  <c r="U26" i="3"/>
  <c r="U25" i="3"/>
  <c r="U24" i="3"/>
  <c r="U23" i="3"/>
  <c r="U22" i="3"/>
  <c r="U21" i="3"/>
  <c r="U20" i="3"/>
  <c r="U19" i="3"/>
  <c r="U18" i="3"/>
  <c r="U17" i="3"/>
  <c r="U16" i="3"/>
  <c r="U15" i="3"/>
  <c r="U13" i="3"/>
  <c r="U12" i="3"/>
  <c r="U11" i="3"/>
  <c r="U10" i="3"/>
  <c r="U9" i="3"/>
  <c r="U8" i="3"/>
  <c r="U7" i="3"/>
  <c r="U6" i="3"/>
  <c r="U5" i="3"/>
  <c r="U4" i="3"/>
  <c r="U3" i="3"/>
  <c r="U2" i="3"/>
  <c r="AG341" i="6"/>
  <c r="AG340" i="6"/>
  <c r="AG339" i="6"/>
  <c r="AG338" i="6"/>
  <c r="AG337" i="6"/>
  <c r="AG336" i="6"/>
  <c r="AG335" i="6"/>
  <c r="AG334" i="6"/>
  <c r="AG333" i="6"/>
  <c r="AG332" i="6"/>
  <c r="AG331" i="6"/>
  <c r="AG330" i="6"/>
  <c r="AG329" i="6"/>
  <c r="AG328" i="6"/>
  <c r="AG327" i="6"/>
  <c r="AG326" i="6"/>
  <c r="AG325" i="6"/>
  <c r="AG324" i="6"/>
  <c r="AG323" i="6"/>
  <c r="AG322" i="6"/>
  <c r="AG321" i="6"/>
  <c r="AG320" i="6"/>
  <c r="AG319" i="6"/>
  <c r="AG318" i="6"/>
  <c r="AG317" i="6"/>
  <c r="AG316" i="6"/>
  <c r="AG315" i="6"/>
  <c r="AG314" i="6"/>
  <c r="AG313" i="6"/>
  <c r="AG312" i="6"/>
  <c r="AG311" i="6"/>
  <c r="AG310" i="6"/>
  <c r="AG309" i="6"/>
  <c r="AG308" i="6"/>
  <c r="AG307" i="6"/>
  <c r="AG306" i="6"/>
  <c r="AG305" i="6"/>
  <c r="AG304" i="6"/>
  <c r="AG303" i="6"/>
  <c r="AG302" i="6"/>
  <c r="AG301" i="6"/>
  <c r="AG300" i="6"/>
  <c r="AG299" i="6"/>
  <c r="AG298" i="6"/>
  <c r="AG297" i="6"/>
  <c r="AG296" i="6"/>
  <c r="AG295" i="6"/>
  <c r="AG294" i="6"/>
  <c r="AG293" i="6"/>
  <c r="AG292" i="6"/>
  <c r="AG291" i="6"/>
  <c r="AG290" i="6"/>
  <c r="AG288" i="6"/>
  <c r="AG287" i="6"/>
  <c r="AG286" i="6"/>
  <c r="AG285" i="6"/>
  <c r="AG284" i="6"/>
  <c r="AG283" i="6"/>
  <c r="AG282" i="6"/>
  <c r="AG281" i="6"/>
  <c r="AG280" i="6"/>
  <c r="AG279" i="6"/>
  <c r="AG278" i="6"/>
  <c r="AG277" i="6"/>
  <c r="AG276" i="6"/>
  <c r="AG275" i="6"/>
  <c r="AG274" i="6"/>
  <c r="AG273" i="6"/>
  <c r="AG272" i="6"/>
  <c r="AG271" i="6"/>
  <c r="AG270" i="6"/>
  <c r="AG269" i="6"/>
  <c r="AG268" i="6"/>
  <c r="AG267" i="6"/>
  <c r="AG266" i="6"/>
  <c r="AG265" i="6"/>
  <c r="AG264" i="6"/>
  <c r="AG263" i="6"/>
  <c r="AG262" i="6"/>
  <c r="AG261" i="6"/>
  <c r="AG260" i="6"/>
  <c r="AG259" i="6"/>
  <c r="AG258" i="6"/>
  <c r="AG257" i="6"/>
  <c r="AG256" i="6"/>
  <c r="AG255" i="6"/>
  <c r="AG254" i="6"/>
  <c r="AG253" i="6"/>
  <c r="AG252" i="6"/>
  <c r="AG251" i="6"/>
  <c r="AG250" i="6"/>
  <c r="AG249" i="6"/>
  <c r="AG248" i="6"/>
  <c r="AG247" i="6"/>
  <c r="AG246" i="6"/>
  <c r="AG245" i="6"/>
  <c r="AG244" i="6"/>
  <c r="AG243" i="6"/>
  <c r="AG242" i="6"/>
  <c r="AG241" i="6"/>
  <c r="AG240" i="6"/>
  <c r="AG239" i="6"/>
  <c r="AG238" i="6"/>
  <c r="AG237" i="6"/>
  <c r="AG236" i="6"/>
  <c r="AG235" i="6"/>
  <c r="AG234" i="6"/>
  <c r="AG233" i="6"/>
  <c r="AG232" i="6"/>
  <c r="AG231" i="6"/>
  <c r="AG230" i="6"/>
  <c r="AG229" i="6"/>
  <c r="AG228" i="6"/>
  <c r="AG227" i="6"/>
  <c r="AG226" i="6"/>
  <c r="AG225" i="6"/>
  <c r="AG224" i="6"/>
  <c r="AG223" i="6"/>
  <c r="AG222" i="6"/>
  <c r="AG221" i="6"/>
  <c r="AG220" i="6"/>
  <c r="AG219" i="6"/>
  <c r="AG218" i="6"/>
  <c r="AG217" i="6"/>
  <c r="AG216" i="6"/>
  <c r="AG215" i="6"/>
  <c r="AG214" i="6"/>
  <c r="AG213" i="6"/>
  <c r="AG212" i="6"/>
  <c r="AG211" i="6"/>
  <c r="AG210" i="6"/>
  <c r="AG209" i="6"/>
  <c r="AG208" i="6"/>
  <c r="AG207" i="6"/>
  <c r="AG206" i="6"/>
  <c r="AG205" i="6"/>
  <c r="AG204" i="6"/>
  <c r="AG203" i="6"/>
  <c r="AG202" i="6"/>
  <c r="AG201" i="6"/>
  <c r="AG200" i="6"/>
  <c r="AG199" i="6"/>
  <c r="AG198" i="6"/>
  <c r="AG197" i="6"/>
  <c r="AG196" i="6"/>
  <c r="AG195" i="6"/>
  <c r="AG194" i="6"/>
  <c r="AG193" i="6"/>
  <c r="AG192" i="6"/>
  <c r="AG190" i="6"/>
  <c r="AG188" i="6"/>
  <c r="AG187" i="6"/>
  <c r="AG186" i="6"/>
  <c r="AG185" i="6"/>
  <c r="AG184" i="6"/>
  <c r="AG183" i="6"/>
  <c r="AG182" i="6"/>
  <c r="AG181" i="6"/>
  <c r="AG180" i="6"/>
  <c r="AG179" i="6"/>
  <c r="AG178" i="6"/>
  <c r="AG177" i="6"/>
  <c r="AG176" i="6"/>
  <c r="AG173" i="6"/>
  <c r="AG172" i="6"/>
  <c r="AG170" i="6"/>
  <c r="AG169" i="6"/>
  <c r="AG168" i="6"/>
  <c r="AG167" i="6"/>
  <c r="AG166" i="6"/>
  <c r="AG165" i="6"/>
  <c r="AG164" i="6"/>
  <c r="AG163" i="6"/>
  <c r="AG162" i="6"/>
  <c r="AG161" i="6"/>
  <c r="AG160" i="6"/>
  <c r="AG159" i="6"/>
  <c r="AG158" i="6"/>
  <c r="AG157" i="6"/>
  <c r="AG156" i="6"/>
  <c r="AG153" i="6"/>
  <c r="AG152" i="6"/>
  <c r="AG151" i="6"/>
  <c r="AG149" i="6"/>
  <c r="AG148" i="6"/>
  <c r="AG146" i="6"/>
  <c r="AG145" i="6"/>
  <c r="AG144" i="6"/>
  <c r="AG143" i="6"/>
  <c r="AG142" i="6"/>
  <c r="AG141" i="6"/>
  <c r="AG138" i="6"/>
  <c r="AG135" i="6"/>
  <c r="AG134" i="6"/>
  <c r="AG133" i="6"/>
  <c r="AG132" i="6"/>
  <c r="AG131" i="6"/>
  <c r="AG130" i="6"/>
  <c r="AG128" i="6"/>
  <c r="AG127" i="6"/>
  <c r="AG126" i="6"/>
  <c r="AG125" i="6"/>
  <c r="AG124" i="6"/>
  <c r="AG123" i="6"/>
  <c r="AG122" i="6"/>
  <c r="AG121" i="6"/>
  <c r="AG120" i="6"/>
  <c r="AG119" i="6"/>
  <c r="AG118" i="6"/>
  <c r="AG117" i="6"/>
  <c r="AG116" i="6"/>
  <c r="AG115" i="6"/>
  <c r="AG114" i="6"/>
  <c r="AG111" i="6"/>
  <c r="AG110" i="6"/>
  <c r="AG109" i="6"/>
  <c r="AG108" i="6"/>
  <c r="AG107" i="6"/>
  <c r="AG106" i="6"/>
  <c r="AG104" i="6"/>
  <c r="AG103" i="6"/>
  <c r="AG102" i="6"/>
  <c r="AG101" i="6"/>
  <c r="AG100" i="6"/>
  <c r="AG99" i="6"/>
  <c r="AG98" i="6"/>
  <c r="AG95" i="6"/>
  <c r="AG94" i="6"/>
  <c r="AG93" i="6"/>
  <c r="AG92" i="6"/>
  <c r="AG91" i="6"/>
  <c r="AG90" i="6"/>
  <c r="AG89" i="6"/>
  <c r="AG88" i="6"/>
  <c r="AG86" i="6"/>
  <c r="AG83" i="6"/>
  <c r="AG82" i="6"/>
  <c r="AG81" i="6"/>
  <c r="AG80" i="6"/>
  <c r="AG79" i="6"/>
  <c r="AG78" i="6"/>
  <c r="AG77" i="6"/>
  <c r="AG76" i="6"/>
  <c r="AG75" i="6"/>
  <c r="AG74" i="6"/>
  <c r="AG73" i="6"/>
  <c r="AG72" i="6"/>
  <c r="AG71" i="6"/>
  <c r="AG70" i="6"/>
  <c r="AG69" i="6"/>
  <c r="AG68" i="6"/>
  <c r="AG67" i="6"/>
  <c r="AG66" i="6"/>
  <c r="AG65" i="6"/>
  <c r="AG64" i="6"/>
  <c r="AG63" i="6"/>
  <c r="AG62" i="6"/>
  <c r="AG61" i="6"/>
  <c r="AG60" i="6"/>
  <c r="AG59" i="6"/>
  <c r="AG58" i="6"/>
  <c r="AG57" i="6"/>
  <c r="AG56" i="6"/>
  <c r="AG55" i="6"/>
  <c r="AG54" i="6"/>
  <c r="AG53" i="6"/>
  <c r="AG52" i="6"/>
  <c r="AG51" i="6"/>
  <c r="AG50" i="6"/>
  <c r="AG49" i="6"/>
  <c r="AG48" i="6"/>
  <c r="AG47" i="6"/>
  <c r="AG46" i="6"/>
  <c r="AG44" i="6"/>
  <c r="AG43" i="6"/>
  <c r="AG42" i="6"/>
  <c r="AG41" i="6"/>
  <c r="AG40" i="6"/>
  <c r="AG39" i="6"/>
  <c r="AG38" i="6"/>
  <c r="AG37" i="6"/>
  <c r="AG36" i="6"/>
  <c r="AG35" i="6"/>
  <c r="AG34" i="6"/>
  <c r="AG33" i="6"/>
  <c r="AG32" i="6"/>
  <c r="AG31" i="6"/>
  <c r="AG30" i="6"/>
  <c r="AG29" i="6"/>
  <c r="AG28" i="6"/>
  <c r="AG27" i="6"/>
  <c r="AG26" i="6"/>
  <c r="AG25" i="6"/>
  <c r="AG24" i="6"/>
  <c r="AG23" i="6"/>
  <c r="AG22" i="6"/>
  <c r="AG21" i="6"/>
  <c r="AG20" i="6"/>
  <c r="AG19" i="6"/>
  <c r="AG18" i="6"/>
  <c r="AG17" i="6"/>
  <c r="AG16" i="6"/>
  <c r="AG15" i="6"/>
  <c r="AG14" i="6"/>
  <c r="AG13" i="6"/>
  <c r="AG12" i="6"/>
  <c r="AG11" i="6"/>
  <c r="AG10" i="6"/>
  <c r="AG9" i="6"/>
  <c r="AG8" i="6"/>
  <c r="AG7" i="6"/>
  <c r="AG6" i="6"/>
  <c r="AG5" i="6"/>
  <c r="AG4" i="6"/>
  <c r="AG3" i="6"/>
</calcChain>
</file>

<file path=xl/sharedStrings.xml><?xml version="1.0" encoding="utf-8"?>
<sst xmlns="http://schemas.openxmlformats.org/spreadsheetml/2006/main" count="29786" uniqueCount="10659">
  <si>
    <t>Authors</t>
  </si>
  <si>
    <t>Author Full Names</t>
  </si>
  <si>
    <t>Article Title</t>
  </si>
  <si>
    <t>Source Title</t>
  </si>
  <si>
    <t>Language</t>
  </si>
  <si>
    <t>Document Type</t>
  </si>
  <si>
    <t>Author Keywords</t>
  </si>
  <si>
    <t>Keywords Plus</t>
  </si>
  <si>
    <t>Abstract</t>
  </si>
  <si>
    <t>Addresses</t>
  </si>
  <si>
    <t>Affiliations</t>
  </si>
  <si>
    <t>Reprint Addresses</t>
  </si>
  <si>
    <t>Cited Reference Count</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</si>
  <si>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</si>
  <si>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</si>
  <si>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</si>
  <si>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</si>
  <si>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</si>
  <si>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</si>
  <si>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</si>
  <si>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</si>
  <si>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</si>
  <si>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</si>
  <si>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</si>
  <si>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</si>
  <si>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</si>
  <si>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</si>
  <si>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</si>
  <si>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</si>
  <si>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</si>
  <si>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</si>
  <si>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</si>
  <si>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</si>
  <si>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</si>
  <si>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</si>
  <si>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</si>
  <si>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</si>
  <si>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</si>
  <si>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</si>
  <si>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</si>
  <si>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</si>
  <si>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</si>
  <si>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Pubmed Id</t>
  </si>
  <si>
    <t>Open Access Designations</t>
  </si>
  <si>
    <t>Highly Cited Status</t>
  </si>
  <si>
    <t>Hot Paper Status</t>
  </si>
  <si>
    <t>Date of Export</t>
  </si>
  <si>
    <t>Alam, SA; Maiti, R</t>
  </si>
  <si>
    <t/>
  </si>
  <si>
    <t>Alam, Sk Asraful; Maiti, Ramkrishna</t>
  </si>
  <si>
    <t>Analysis of long-term and short-term bankline stability prediction considering seasonal variations: A study in lower Ganga Basin, India</t>
  </si>
  <si>
    <t>ADVANCES IN SPACE RESEARCH</t>
  </si>
  <si>
    <t>English</t>
  </si>
  <si>
    <t>Article</t>
  </si>
  <si>
    <t>River bank erosion; Digital shoreline analysis system; Seasonal bankline dynamics; Ganga River; Short-term bankline prediction; Farakka barrage</t>
  </si>
  <si>
    <t>WATER INDEX NDWI; LATERAL MIGRATION; RIVER GANGA; EROSION; DYNAMICS; MAGNITUDE; RAJMAHAL; BARRAGE; SEVERN; RATES</t>
  </si>
  <si>
    <t>River bank instability in the lower Ganga plain has been a major concern since the early 1850s due to its huge catchment flux and transboundary character, especially in the districts of Malda and Murshidabad. This study examines the seasonal dynamics of banklines in the upper and lower Farakka regions. The study assesses seasonal changes in the lower Ganga regions over 68 years (1955-2022) and projects trends for the next 22 years (2022-2044) using a GIS-based Digital Shoreline Analysis System (DSAS) approach. Long-term erosion prevails on the left bank at -19.38 +/- 2.83 m yr&lt;^&gt;-1 (LRR method), with 38.61 % of transects showing a significant (p &lt; 0.05) erosional rate, covering 58.85 % of total erosional transects. The right bank experiences accretion at a rate of 6.82 +/- 2.83 m yr&lt;^&gt;-1, with 27.66 % of transects showing a significant erosional rate, covering 46.10 % of total erosional transects. Short-term fluctuations show erosion-accretion values surpassing the 50 % threshold, highlighting dominant erosion in 1975-1980 and 1985-2015. The non-cyclic erosion-accretion nature unveils erosional processes in 1975-2000 and 2010-2015 and accretional processes in 2000-2010 and 2015-2021 on the right bank during the monsoon season. The dynamics of the projected bank lines exhibit an accretional tendency over the right bank and an erosional trend over the left. Moreover, a strong correlation between the actual and expected bank lines is shown by the R-2 value surpassing 0.95 for all seasons on both the left and right banks. The erosional trends are evident in Chachunda at a rate of -152.45 +/- 198.92 m yr&lt;^&gt;-1, while Loharpur and Shikdarpur exhibit erosional rates of -237.88 +/- 211.30 m yr&lt;^&gt;-1 and -243.59 +/- 207.91 m yr&lt;^&gt;-1, respectively, in the lower Farakka. The seasonal long-term and short-term analyses are influenced by various forcing mechanisms like high sediment flux, enormous discharge, and drastic anthropogenic intervention that drives changing foci of erosion and accretion.</t>
  </si>
  <si>
    <t>[Alam, Sk Asraful; Maiti, Ramkrishna] Vidyasagar Univ, Dept Geog, Midnapore, India</t>
  </si>
  <si>
    <t>Vidyasagar University</t>
  </si>
  <si>
    <t>Alam, SA (corresponding author), Vidyasagar Univ, Dept Geog, Midnapore, India.</t>
  </si>
  <si>
    <t>ELSEVIER SCI LTD</t>
  </si>
  <si>
    <t>London</t>
  </si>
  <si>
    <t>125 London Wall, London, ENGLAND</t>
  </si>
  <si>
    <t>0273-1177</t>
  </si>
  <si>
    <t>1879-1948</t>
  </si>
  <si>
    <t>10.1016/j.asr.2024.08.002</t>
  </si>
  <si>
    <t>Engineering, Aerospace; Astronomy &amp; Astrophysics; Geosciences, Multidisciplinary; Meteorology &amp; Atmospheric Sciences</t>
  </si>
  <si>
    <t>Science Citation Index Expanded (SCI-EXPANDED)</t>
  </si>
  <si>
    <t>Engineering; Astronomy &amp; Astrophysics; Geology; Meteorology &amp; Atmospheric Sciences</t>
  </si>
  <si>
    <t>Saha, S; Ghosh, A; Santra, HK; Banerjee, D; Chattopadhyay, S</t>
  </si>
  <si>
    <t>Saha, Sangita; Ghosh, Angshita; Santra, Hiran Kanti; Banerjee, Debdulal; Chattopadhyay, Sandip</t>
  </si>
  <si>
    <t>Corrective role of endophytic exopolysaccharides from Clerodendrum infortunatum L. on arsenic-induced ovarian steroidogenic dysfunction and associated inflammatory responses</t>
  </si>
  <si>
    <t>INTERNATIONAL JOURNAL OF BIOLOGICAL MACROMOLECULES</t>
  </si>
  <si>
    <t>Endophytes; Exopolysaccharides; Arsenic; Oxidative stress; Inflammation; Androgen receptor</t>
  </si>
  <si>
    <t>SUPEROXIDE-DISMUTASE; ANTIOXIDANT ACTIVITY; OXIDATIVE STRESS; OPTIMIZATION; CHELATION</t>
  </si>
  <si>
    <t>The present investigation aimed to evaluate the therapeutic potential of exopolysaccharides (EPSs) derived from endophytic fungi against arsenic [As(III)]-mediated metabolic and reproductive ailments. Two endophytic fungi, Diaporthe arengae (CleR1) and Fusarium proliferatum (CleR3), were isolated from Clerodendrum infortunatum (Cle), and used for the extraction of two types of EPSs. GC-MS analysis confirmed the presence of hydroxymethyl furfural (HMF) and alpha-D-glucopyranose in the EPS1 (CleR1) and EPS2 (CleR3), respectively. FTIR analysis revealed the potential As(III)-chelation properties of both EPSs. EPS1 and EPS2 significantly mitigated As(III)induced oxidative stress and lipid peroxidation by restoring the activities of antioxidative enzymes. EPSs successfully corrected the gonadotropin imbalance and steroidogenic alterations. The downregulation of proinflammatory (NF-kappa B and TNF-alpha) and proapoptotic (BAX) mediators and the upregulation of antiapoptotic (Bcl-2) markers were also detected following the treatment with EPSs. Histomorphological restoration of reproductive and metabolic organs was also observed in both the EPS groups. Moreover, the As(III)-induced increase in the immunoreactivity of the androgen receptor (AR) was successfully reversed by these EPSs. Molecular docking predicted that HMF and alpha-D-glucopyranose of EPS1 and EPS2 interact with the active site of AR by limiting its activity. Hence, EPS could be effective for developing new therapeutic strategies for managing As(III) toxicity.</t>
  </si>
  <si>
    <t>[Saha, Sangita; Banerjee, Debdulal; Chattopadhyay, Sandip] Vidyasagar Univ, Ctr Life Sci, Midnapore 721102, West Bengal, India; [Saha, Sangita; Ghosh, Angshita; Chattopadhyay, Sandip] Vidyasagar Univ, Dept Biomed Lab Sci &amp; Management, Cellular &amp; Mol Toxicol Lab, Midnapore 721102, West Bengal, India; [Saha, Sangita; Santra, Hiran Kanti; Banerjee, Debdulal] Vidyasagar Univ, Dept Bot &amp; Forestry, Microbiol &amp; Microbial Biotechnol Lab, Midnapore 721102, West Bengal, India</t>
  </si>
  <si>
    <t>Vidyasagar University; Vidyasagar University; Vidyasagar University</t>
  </si>
  <si>
    <t>Chattopadhyay, S (corresponding author), Vidyasagar Univ, Dept Biomed Lab Sci &amp; Management, Cellular &amp; Mol Toxicol Lab, Midnapore 721102, West Bengal, India.</t>
  </si>
  <si>
    <t>ELSEVIER</t>
  </si>
  <si>
    <t>AMSTERDAM</t>
  </si>
  <si>
    <t>RADARWEG 29, 1043 NX AMSTERDAM, NETHERLANDS</t>
  </si>
  <si>
    <t>0141-8130</t>
  </si>
  <si>
    <t>1879-0003</t>
  </si>
  <si>
    <t>INT J BIOL MACROMOL</t>
  </si>
  <si>
    <t>Int. J. Biol. Macromol.</t>
  </si>
  <si>
    <t>DEC</t>
  </si>
  <si>
    <t>10.1016/j.ijbiomac.2024.136795</t>
  </si>
  <si>
    <t>Biochemistry &amp; Molecular Biology; Chemistry, Applied; Polymer Science</t>
  </si>
  <si>
    <t>Biochemistry &amp; Molecular Biology; Chemistry; Polymer Science</t>
  </si>
  <si>
    <t>Shyamal, M</t>
  </si>
  <si>
    <t>Shyamal, Manoj</t>
  </si>
  <si>
    <t>Asia-Pacific Fishing Livelihoods</t>
  </si>
  <si>
    <t>PROGRESS IN DEVELOPMENT STUDIES</t>
  </si>
  <si>
    <t>Book Review</t>
  </si>
  <si>
    <t>Fabinyi, Michael and Kate, Barclay,Asia-Pacific Fishing Livelihoods (Palgrave Macmillan, 2022), 112 pp., $69.99, Hardcover. ISBN: 978-3-030-79590-0 (Hardcover), ISBN: 978-3- 030-79591-7 (eBook).</t>
  </si>
  <si>
    <t>[Shyamal, Manoj] Vidyasagar Univ, Dept Polit Sci, Midnapore, West Bengal, India</t>
  </si>
  <si>
    <t>Shyamal, M (corresponding author), Vidyasagar Univ, Dept Polit Sci, Midnapore, West Bengal, India.</t>
  </si>
  <si>
    <t>SAGE PUBLICATIONS INC</t>
  </si>
  <si>
    <t>THOUSAND OAKS</t>
  </si>
  <si>
    <t>2455 TELLER RD, THOUSAND OAKS, CA 91320 USA</t>
  </si>
  <si>
    <t>1464-9934</t>
  </si>
  <si>
    <t>1477-027X</t>
  </si>
  <si>
    <t>JUL</t>
  </si>
  <si>
    <t>10.1177/14649934241245173</t>
  </si>
  <si>
    <t>Development Studies</t>
  </si>
  <si>
    <t>Social Science Citation Index (SSCI)</t>
  </si>
  <si>
    <t>Dutta, R; Banerjee, D</t>
  </si>
  <si>
    <t>Dutta, Riya; Banerjee, Debdulal</t>
  </si>
  <si>
    <t>Plant Growth Promoting Activity of Colletotrichum sp., an Endophyte of Helicteres isora L. and its Growth Optimization using Response Surface Methodology</t>
  </si>
  <si>
    <t>JOURNAL OF PURE AND APPLIED MICROBIOLOGY</t>
  </si>
  <si>
    <t>Article; Early Access</t>
  </si>
  <si>
    <t>Helicteres isora; Colletotrichum sp .; Growth-promoting Activities</t>
  </si>
  <si>
    <t>Endophytes are the beneficial group of plant symbionts and are potent sources for producing novel metabolites with biotechnological applications. They are efficient sources for the synthesis of plant growth-promoting substances- Indole acetic acid, ammonia, solubilizing phosphates and thus open up sustainable agricultural opportunities. In the present investigation, twenty-two fungal endophytes were isolated from an ethnomedicinal plant-Helicteres isora L., collected from forests of Singbhum, Jhargram, India, and the isolate-Colletotrichum sp. HelS1, exhibited the most potent in vitro plant growth-promoting activities among all. HelS1 synthesized auxin (111.13 mu g ml-1), ammonia, and solubilized phosphate (47.22 mu g ml-1) in specific culture conditions. A treatment with fungal extract effectively increases the growth of the experimental plant (tomato seedlings) in terms of improvement in relative water contents, dry weight, nodal length, and pigment profiles compared to the untreated ones. There was an increase in root length by 27% compared to the control group. The isolate produced the maximum IAA after 7 days of incubation on Czepak Dox Broth supplemented with tryptophan (5 mg mL-1), sucrose (30 g L-1), and NaNO3 (2.2 g L-1) at pH 6.2. Fourier Transform Infrared Spectroscopic analysis of the crude fungal extract further confirmed the production of indole-like compounds. This investigation suggested that secondary metabolites of endophytes act as a potent plant growth inducer and can be utilized in bio-based crop management techniques.</t>
  </si>
  <si>
    <t>[Dutta, Riya; Banerjee, Debdulal] Vidyasagar Univ, Ctr Life Sci, Midnapore 721102, W Bengal, India; [Banerjee, Debdulal] Vidyasagar Univ, Dept Bot &amp; Forestry, Midnapore, W Bengal, India</t>
  </si>
  <si>
    <t>Vidyasagar University; Vidyasagar University</t>
  </si>
  <si>
    <t>Banerjee, D (corresponding author), Vidyasagar Univ, Ctr Life Sci, Midnapore 721102, W Bengal, India.;Banerjee, D (corresponding author), Vidyasagar Univ, Dept Bot &amp; Forestry, Midnapore, W Bengal, India.</t>
  </si>
  <si>
    <t>DR M N KHAN</t>
  </si>
  <si>
    <t>BHOPAL</t>
  </si>
  <si>
    <t>24, NEW MAULANA AZAD COLONY, NEAR ST JOSEPH GIRLS CONVENT SCH, IGDAH HILLS, BHOPAL, MADHYA PRADESH 462 001, INDIA</t>
  </si>
  <si>
    <t>0973-7510</t>
  </si>
  <si>
    <t>2581-690X</t>
  </si>
  <si>
    <t>10.22207/JPAM.18.1.17</t>
  </si>
  <si>
    <t>Biotechnology &amp; Applied Microbiology; Microbiology</t>
  </si>
  <si>
    <t>Emerging Sources Citation Index (ESCI)</t>
  </si>
  <si>
    <t>gold</t>
  </si>
  <si>
    <t>Bhattacharya, A; Pal, M</t>
  </si>
  <si>
    <t>Bhattacharya, Anushree; Pal, Madhumangal</t>
  </si>
  <si>
    <t>A Fuzzy Graph Theory Approach to the Facility Location Problem: A Case Study in the Indian Banking System</t>
  </si>
  <si>
    <t>MATHEMATICS</t>
  </si>
  <si>
    <t>[Bhattacharya, Anushree; Pal, Madhumangal] Vidyasagar Univ, Dept Appl Math Oceanol &amp; Comp Programming, Midnapore 721102, India</t>
  </si>
  <si>
    <t>Pal, M (corresponding author), Vidyasagar Univ, Dept Appl Math Oceanol &amp; Comp Programming, Midnapore 721102, India.</t>
  </si>
  <si>
    <t>MDPI</t>
  </si>
  <si>
    <t>BASEL</t>
  </si>
  <si>
    <t>ST ALBAN-ANLAGE 66, CH-4052 BASEL, SWITZERLAND</t>
  </si>
  <si>
    <t>2227-7390</t>
  </si>
  <si>
    <t>MATHEMATICS-BASEL</t>
  </si>
  <si>
    <t>Mathematics</t>
  </si>
  <si>
    <t>10.3390/math11132992</t>
  </si>
  <si>
    <t>Maity, A</t>
  </si>
  <si>
    <t>Maity, Abhijit</t>
  </si>
  <si>
    <t>The Murderer, the Monarch and the Fakir: A New Investigation of Mahatma Gandhi's Assassination</t>
  </si>
  <si>
    <t>SOUTH ASIAN HISTORY AND CULTURE</t>
  </si>
  <si>
    <t>[Maity, Abhijit] Vidyasagar Univ, Mahishadal Girls Coll, Midnapore, W Bengal, India</t>
  </si>
  <si>
    <t>Maity, A (corresponding author), Vidyasagar Univ, Mahishadal Girls Coll, Midnapore, W Bengal, India.</t>
  </si>
  <si>
    <t>ROUTLEDGE JOURNALS, TAYLOR &amp; FRANCIS LTD</t>
  </si>
  <si>
    <t>ABINGDON</t>
  </si>
  <si>
    <t>2-4 PARK SQUARE, MILTON PARK, ABINGDON OX14 4RN, OXON, ENGLAND</t>
  </si>
  <si>
    <t>1947-2498</t>
  </si>
  <si>
    <t>1947-2501</t>
  </si>
  <si>
    <t>JUL 3</t>
  </si>
  <si>
    <t>10.1080/19472498.2023.2164983</t>
  </si>
  <si>
    <t>Asian Studies</t>
  </si>
  <si>
    <t>Bera, Dipankar; Das Chatterjee, Nilanjana; Ghosh, Subrata; Dinda, Santanu; Bera, Sudip</t>
  </si>
  <si>
    <t>Recent trends of land surface temperature in relation to the influencing factors using Google Earth Engine platform and time series products in megacities of India</t>
  </si>
  <si>
    <t>JOURNAL OF CLEANER PRODUCTION</t>
  </si>
  <si>
    <t>[Bera, Dipankar; Das Chatterjee, Nilanjana; Ghosh, Subrata; Dinda, Santanu; Bera, Sudip] Vidyasagar Univ, Dept Geog, Midnapore 721102, West Bengal, India</t>
  </si>
  <si>
    <t>Bera, D (corresponding author), Vidyasagar Univ, Dept Geog, Midnapore 721102, West Bengal, India.</t>
  </si>
  <si>
    <t>OXFORD</t>
  </si>
  <si>
    <t>THE BOULEVARD, LANGFORD LANE, KIDLINGTON, OXFORD OX5 1GB, OXON, ENGLAND</t>
  </si>
  <si>
    <t>0959-6526</t>
  </si>
  <si>
    <t>1879-1786</t>
  </si>
  <si>
    <t>DEC 15</t>
  </si>
  <si>
    <t>10.1016/j.jclepro.2022.134735</t>
  </si>
  <si>
    <t>Green &amp; Sustainable Science &amp; Technology; Engineering, Environmental; Environmental Sciences</t>
  </si>
  <si>
    <t>Science &amp; Technology - Other Topics; Engineering; Environmental Sciences &amp; Ecology</t>
  </si>
  <si>
    <t>Sen, Uday Kumar; Bhakat, Ram Kumar</t>
  </si>
  <si>
    <t>Biocultural approaches to sustainability: role of indigenous knowledge systems in biodiversity conservation of West Bengal, India</t>
  </si>
  <si>
    <t>TIME &amp; MIND-THE JOURNAL OF ARCHAEOLOGY CONSCIOUSNESS AND CULTURE</t>
  </si>
  <si>
    <t>[Sen, Uday Kumar; Bhakat, Ram Kumar] Vidyasagar Univ, Dept Bot &amp; Forestry, Ecol &amp; Taxon Lab, Midnapore 721102, India</t>
  </si>
  <si>
    <t>Sen, UK (corresponding author), Vidyasagar Univ, Dept Bot &amp; Forestry, Ecol &amp; Taxon Lab, Midnapore 721102, India.</t>
  </si>
  <si>
    <t>1751-696X</t>
  </si>
  <si>
    <t>1751-6978</t>
  </si>
  <si>
    <t>TIME MIND</t>
  </si>
  <si>
    <t>Time Mind</t>
  </si>
  <si>
    <t>APR 3</t>
  </si>
  <si>
    <t>10.1080/1751696X.2022.2085527</t>
  </si>
  <si>
    <t>Archaeology</t>
  </si>
  <si>
    <t>Arts &amp; Humanities Citation Index (A&amp;HCI)</t>
  </si>
  <si>
    <t>Jana, Chandan; Maiti, Atasi Patra; Maiti, Dilip Kumar</t>
  </si>
  <si>
    <t>Complex dynamical behavior of a ratio-dependent eco-epidemic model with Holling type-II incidence rate in the presence of two delays</t>
  </si>
  <si>
    <t>COMMUNICATIONS IN NONLINEAR SCIENCE AND NUMERICAL SIMULATION</t>
  </si>
  <si>
    <t>[Jana, Chandan; Maiti, Dilip Kumar] Vidyasagar Univ, Dept Appl Math Oceanol &amp; Comp Programming, Midnapore 721102, W Bengal, India; [Maiti, Atasi Patra] Vidyasagar Univ, Directorate Distance Educ, Midnapore 721102, W Bengal, India</t>
  </si>
  <si>
    <t>Maiti, AP (corresponding author), Vidyasagar Univ, Directorate Distance Educ, Midnapore 721102, W Bengal, India.</t>
  </si>
  <si>
    <t>1007-5704</t>
  </si>
  <si>
    <t>1878-7274</t>
  </si>
  <si>
    <t>10.1016/j.cnsns.2022.106380</t>
  </si>
  <si>
    <t>Mathematics, Applied; Mathematics, Interdisciplinary Applications; Mechanics; Physics, Fluids &amp; Plasmas; Physics, Mathematical</t>
  </si>
  <si>
    <t>Mathematics; Mechanics; Physics</t>
  </si>
  <si>
    <t>Mondal, B; Barman, K</t>
  </si>
  <si>
    <t>Mondal, Buddhadeb; Barman, Krishnendu</t>
  </si>
  <si>
    <t>Modulation of environmental dispersion due to ecological degradation in a two-zone width-dominated wetland flow</t>
  </si>
  <si>
    <t>INTERNATIONAL JOURNAL OF RIVER BASIN MANAGEMENT</t>
  </si>
  <si>
    <t>Wetland; Ecological degradation; Contaminant transport; Multi-scale analysis; Environmental dispersion</t>
  </si>
  <si>
    <t>SOLUTE-DISPERSION; TRANSPORT; CHANNELS; WIND</t>
  </si>
  <si>
    <t>Flow and environmental dispersion are necessary in water management systems. To better understand contaminant transport in wetland flows with adjacent aquatic vegetation and riparian buffers, a two-zone-model wetland is considered to characterize the water flow and environmental dispersion. Many researchers developed a dispersion model to characterize the mean concentration subject to the first-order degradation effect, present study attempts to derive an analytical dispersion model to discuss the transverse mean concentration of pollutants subject to second-order degradation effects in a width-dominated wetland flow. In addition, this study attempts to highlight the effect of environmental parameters like vegetation, viscous friction, and relative width on flow velocity. Also, the transverse mean concentration in the longitudinal direction is derived based on Mei's multi-scale perturbation approach and analyzed with different degradation reaction rates. In a second-order reaction, higher degradation rate at a high concentration zone, contaminants degrade more effectively at the source than in a first-order reaction. It is conveyed that the pollutant transport is influenced by various parameters such as Peclet number, tortuosity, vegetation constraint, and dispersion time. For a specific water quality standard in wetlands, the maximal length and duration of the affected area for the common pollutant lead (Pb) is assessed and presented graphically; also, compared with a single zone.</t>
  </si>
  <si>
    <t>[Mondal, Buddhadeb; Barman, Krishnendu] Vidyasagar Univ, Dept Appl Math, Paschim Midnapore 721102, India</t>
  </si>
  <si>
    <t>Barman, K (corresponding author), Vidyasagar Univ, Dept Appl Math, Paschim Midnapore 721102, India.</t>
  </si>
  <si>
    <t>TAYLOR &amp; FRANCIS LTD</t>
  </si>
  <si>
    <t>2-4 PARK SQUARE, MILTON PARK, ABINGDON OR14 4RN, OXON, ENGLAND</t>
  </si>
  <si>
    <t>1571-5124</t>
  </si>
  <si>
    <t>1814-2060</t>
  </si>
  <si>
    <t>INT J RIVER BASIN MA</t>
  </si>
  <si>
    <t>Int. J. River Basin Manag.</t>
  </si>
  <si>
    <t>10.1080/15715124.2024.2427665</t>
  </si>
  <si>
    <t>Water Resources</t>
  </si>
  <si>
    <t>Khatun, M; Basu, TM; Manna, S; Mondal, SK</t>
  </si>
  <si>
    <t>Khatun, Masuma; Basu, Tanushree Mitra; Manna, Soumi; Mondal, Shyamal Kumar</t>
  </si>
  <si>
    <t>Extended Dombi-Hamy mean operator and Gaussian likelihood-based ranking approach for solving MCDM problems in interval-valued neutrosophic environment</t>
  </si>
  <si>
    <t>EXPERT SYSTEMS WITH APPLICATIONS</t>
  </si>
  <si>
    <t>Interval-valued neutrosophic sets (IVNSs); Interval-valued neutrosophic Dombi-Hamy; mean (IVNDHM) operator; GLF algorithm; Oral squamous cell carcinoma (OSCC)</t>
  </si>
  <si>
    <t>SIMILARITY MEASURES; SETS; RISK</t>
  </si>
  <si>
    <t>The contrivance of this paper is two-dimensional. The first is to formulate an extended Dombi-Hamy mean operator in an interval -valued neutrosophic environment for assembling inter -related multiple parameters. The second one is to develop a new ranking procedure named as GLF ranking by introducing the concept of Gaussian likelihood function for solving multi -criteria decision -making problems in an interval -valued neutrosophic circumstance. Also, we have proposed a novel algorithm named Gaussian likelihood function based algorithm or GLF algorithm in solving multi -criteria decision -making problem from the field of medical science to find out the vital cause responsible for the occurrence of cancer in India. Finally, we have verified the flexibility and etiquette of GLF method by comparing it with the existing multi -criteria decision -making methods such as Aiwu's method and Jun Ye's method.</t>
  </si>
  <si>
    <t>[Khatun, Masuma; Basu, Tanushree Mitra; Manna, Soumi; Mondal, Shyamal Kumar] Vidyasagar Univ, Dept Appl Math Oceanol &amp; Comp Programming, Midnapore 721102, WB, India</t>
  </si>
  <si>
    <t>Mondal, SK (corresponding author), Vidyasagar Univ, Dept Appl Math Oceanol &amp; Comp Programming, Midnapore 721102, WB, India.</t>
  </si>
  <si>
    <t>PERGAMON-ELSEVIER SCIENCE LTD</t>
  </si>
  <si>
    <t>THE BOULEVARD, LANGFORD LANE, KIDLINGTON, OXFORD OX5 1GB, ENGLAND</t>
  </si>
  <si>
    <t>0957-4174</t>
  </si>
  <si>
    <t>1873-6793</t>
  </si>
  <si>
    <t>NOV 1</t>
  </si>
  <si>
    <t>10.1016/j.eswa.2024.124272</t>
  </si>
  <si>
    <t>Computer Science, Artificial Intelligence; Engineering, Electrical &amp; Electronic; Operations Research &amp; Management Science</t>
  </si>
  <si>
    <t>Computer Science; Engineering; Operations Research &amp; Management Science</t>
  </si>
  <si>
    <t>Mondal, Arijit; Giri, Binoy Krishna; Roy, Sankar Kumar</t>
  </si>
  <si>
    <t>An integrated sustainable bio-fuel and bio-energy supply chain: A novel approach based on DEMATEL and fuzzy-random robust flexible programming with Me measure</t>
  </si>
  <si>
    <t>APPLIED ENERGY</t>
  </si>
  <si>
    <t>[Mondal, Arijit; Giri, Binoy Krishna; Roy, Sankar Kumar] Vidyasagar Univ, Dept Appl Math Oceanol &amp; Comp Programming, Midnapore 721102, W Bengal, India</t>
  </si>
  <si>
    <t>Roy, SK (corresponding author), Vidyasagar Univ, Dept Appl Math Oceanol &amp; Comp Programming, Midnapore 721102, W Bengal, India.</t>
  </si>
  <si>
    <t>0306-2619</t>
  </si>
  <si>
    <t>1872-9118</t>
  </si>
  <si>
    <t>10.1016/j.apenergy.2023.121225</t>
  </si>
  <si>
    <t>Energy &amp; Fuels; Engineering, Chemical</t>
  </si>
  <si>
    <t>Energy &amp; Fuels; Engineering</t>
  </si>
  <si>
    <t>Mahato, Nirmal Kumar</t>
  </si>
  <si>
    <t>Revisiting the traditional medicine of the tribals in the Jungle Mahals, 1947-2000</t>
  </si>
  <si>
    <t>INDIAN JOURNAL OF HISTORY OF SCIENCE</t>
  </si>
  <si>
    <t>[Mahato, Nirmal Kumar] Vidyasagar Univ, Ctr Environm Studies, Midnapore, WB, India</t>
  </si>
  <si>
    <t>Mahato, NK (corresponding author), Vidyasagar Univ, Ctr Environm Studies, Midnapore, WB, India.</t>
  </si>
  <si>
    <t>INDIAN NATL SCIENCE ACAD</t>
  </si>
  <si>
    <t>NEW DELHI</t>
  </si>
  <si>
    <t>BAHADUR SHAH ZAFAR MARG, NEW DELHI, 110 002, INDIA</t>
  </si>
  <si>
    <t>0019-5235</t>
  </si>
  <si>
    <t>2454-9991</t>
  </si>
  <si>
    <t>JUN</t>
  </si>
  <si>
    <t>10.1007/s43539-023-00086-0</t>
  </si>
  <si>
    <t>History &amp; Philosophy Of Science</t>
  </si>
  <si>
    <t>History &amp; Philosophy of Science</t>
  </si>
  <si>
    <t>Jana, A; Roy, SK</t>
  </si>
  <si>
    <t>Jana, Abhijit; Roy, Sankar Kumar</t>
  </si>
  <si>
    <t>Harvesting in a toxicated intraguild delayed fishery model with variable carrying capacity</t>
  </si>
  <si>
    <t>COMPUTATIONAL &amp; APPLIED MATHEMATICS</t>
  </si>
  <si>
    <t>[Jana, Abhijit; Roy, Sankar Kumar] Vidyasagar Univ, Dept Appl Math Oceanol &amp; Comp Programming, Midnapore 721102, W Bengal, India</t>
  </si>
  <si>
    <t>SPRINGER HEIDELBERG</t>
  </si>
  <si>
    <t>HEIDELBERG</t>
  </si>
  <si>
    <t>TIERGARTENSTRASSE 17, D-69121 HEIDELBERG, GERMANY</t>
  </si>
  <si>
    <t>2238-3603</t>
  </si>
  <si>
    <t>1807-0302</t>
  </si>
  <si>
    <t>COMPUT APPL MATH</t>
  </si>
  <si>
    <t>Comput. Appl. Math.</t>
  </si>
  <si>
    <t>10.1007/s40314-022-02099-4</t>
  </si>
  <si>
    <t>Mathematics, Applied</t>
  </si>
  <si>
    <t>Ganguly, Ram Kumar; Al-Helal, Md Abdullah; Chakraborty, Susanta Kumar</t>
  </si>
  <si>
    <t>Role of bioactive xenobiotics towards reproductive potential of Odontotermes longignathus through in silico study: An amalgamation of ecoinformatics and ecotechnological insights of termite mounds from a tropical forest, India</t>
  </si>
  <si>
    <t>ECOTOXICOLOGY AND ENVIRONMENTAL SAFETY</t>
  </si>
  <si>
    <t>[Ganguly, Ram Kumar; Al-Helal, Md Abdullah; Chakraborty, Susanta Kumar] Vidyasagar Univ, Dept Zool, Midnapore 721102, W Bengal, India</t>
  </si>
  <si>
    <t>Ganguly, RK (corresponding author), Vidyasagar Univ, Dept Zool, Midnapore 721102, W Bengal, India.</t>
  </si>
  <si>
    <t>ACADEMIC PRESS INC ELSEVIER SCIENCE</t>
  </si>
  <si>
    <t>SAN DIEGO</t>
  </si>
  <si>
    <t>525 B ST, STE 1900, SAN DIEGO, CA 92101-4495 USA</t>
  </si>
  <si>
    <t>0147-6513</t>
  </si>
  <si>
    <t>1090-2414</t>
  </si>
  <si>
    <t>ECOTOX ENVIRON SAFE</t>
  </si>
  <si>
    <t>Ecotox. Environ. Safe.</t>
  </si>
  <si>
    <t>MAR 1</t>
  </si>
  <si>
    <t>10.1016/j.ecoenv.2022.113275</t>
  </si>
  <si>
    <t>Environmental Sciences; Toxicology</t>
  </si>
  <si>
    <t>Environmental Sciences &amp; Ecology; Toxicology</t>
  </si>
  <si>
    <t>Jana, U; Ghorai, G</t>
  </si>
  <si>
    <t>Jana, Umapada; Ghorai, Ganesh</t>
  </si>
  <si>
    <t>Gutman index of fuzzy graphs with application</t>
  </si>
  <si>
    <t>SOCIAL NETWORK ANALYSIS AND MINING</t>
  </si>
  <si>
    <t>Graph theory; Fuzzy graphs; Topological indices; Gutman index; General Gutman index; The phenomenon of human trafficking</t>
  </si>
  <si>
    <t>Fuzzy graph theory is applicable on diverse fields where uncertainty plays a significant role like in network analysis, medical diagnosis and health care, decision-making, and optimization, etc. An effective tool in this field is the topological index. These indices provide quantitative measures of molecular structure and connectivity, which are crucial for understanding and predicting physical, chemical, and biological properties of molecules. The Gutman index (GI) is an important topological index. This index is based on degree and distance. In this paper, GI is explored in fuzzy graphs. Some results on GI are found like the relationship of GI between a fuzzy graph and its fuzzy sub-graph and the relationship of GI between a fuzzy graph and its complete fuzzy graph. Some upper and lower bounds are obtained for complete fuzzy graph, bipartite graph, star, double star, etc. A relationship of GI between two isomorphic fuzzy graphs are determined. Human trafficking, a heinous offense and grave breach of human rights involves the coercion, deception, or coercion of people for a range of purposes, including forced work, forced marriage, and forced servitude. Overall, human trafficking is a complex and multifaceted issue that requires coordinated efforts at the local, national, and international levels to prevent, prosecute, and ultimately eradicate this egregious violation of human dignity. At the end of this paper, an application of GI is given to reduce human trafficking in India.</t>
  </si>
  <si>
    <t>[Jana, Umapada] Vidyasagar Univ, Dept Appl Math, Midnapore 721102, West Bengal, India; [Ghorai, Ganesh] Vidyasagar Univ, Dept Appl Math, Midnapore 721102, West Bengal, India</t>
  </si>
  <si>
    <t>Ghorai, G (corresponding author), Vidyasagar Univ, Dept Appl Math, Midnapore 721102, West Bengal, India.</t>
  </si>
  <si>
    <t>SPRINGER WIEN</t>
  </si>
  <si>
    <t>Vienna</t>
  </si>
  <si>
    <t>Prinz-Eugen-Strasse 8-10, A-1040 Vienna, AUSTRIA</t>
  </si>
  <si>
    <t>1869-5450</t>
  </si>
  <si>
    <t>1869-5469</t>
  </si>
  <si>
    <t>10.1007/s13278-024-01358-y</t>
  </si>
  <si>
    <t>Computer Science, Information Systems</t>
  </si>
  <si>
    <t>Computer Science</t>
  </si>
  <si>
    <t>Saha, M; Giri, RN</t>
  </si>
  <si>
    <t>Saha, Mritunjoy; Giri, Raghu Nandan</t>
  </si>
  <si>
    <t>Consumers' purchasing decisions of a dual-channel supply chain system under return and warranty policies</t>
  </si>
  <si>
    <t>INTERNATIONAL JOURNAL OF SYSTEMS SCIENCE-OPERATIONS &amp; LOGISTICS</t>
  </si>
  <si>
    <t>[Saha, Mritunjoy; Giri, Raghu Nandan] Vidyasagar Univ, Dept Appl Math Oceanol &amp; Comp Programming, Midnapore, India; [Giri, Raghu Nandan] Vidyasagar Univ, Dept Appl Math Oceanol &amp; Comp Programming, Midnapore 721102, India</t>
  </si>
  <si>
    <t>Giri, RN (corresponding author), Vidyasagar Univ, Dept Appl Math Oceanol &amp; Comp Programming, Midnapore 721102, India.</t>
  </si>
  <si>
    <t>2330-2674</t>
  </si>
  <si>
    <t>2330-2682</t>
  </si>
  <si>
    <t>INT J SYST SCI-OPER</t>
  </si>
  <si>
    <t>Int. J. Syst. Sci.- Oper. Logist.</t>
  </si>
  <si>
    <t>DEC 31</t>
  </si>
  <si>
    <t>10.1080/23302674.2023.2173990</t>
  </si>
  <si>
    <t>Engineering, Industrial; Operations Research &amp; Management Science</t>
  </si>
  <si>
    <t>Engineering; Operations Research &amp; Management Science</t>
  </si>
  <si>
    <t>GOVERNMENT INTERVENTION IN A RECYCLING SUPPLY CHAIN SYSTEM: A STRATEGY TO MAKE SUSTAINABLE AND CLEAN ENVIRONMENT</t>
  </si>
  <si>
    <t>JOURNAL OF INDUSTRIAL AND MANAGEMENT OPTIMIZATION</t>
  </si>
  <si>
    <t>Recycling supply chain; carbon emission; environmental burden; government intervention; Stackelberg game</t>
  </si>
  <si>
    <t>CARBON EMISSION REDUCTION; GAME-THEORETIC APPROACH; MANAGEMENT; COLLECTION; DECISIONS; MECHANISM; GREEN</t>
  </si>
  <si>
    <t>Rapid industrialization and huge production over the whole world are diminishing natural resources as well as increasing the harmful impacts on the environment. Now, it is imperative to address the harmful impacts and develop a circular economy in each production system. The paper investigates Govt. intervention in a recycling supply chain system of a manufacturer, a re-manufacturer, and two retailers. Here, consumers' demand is measured from the utility function based on the product's initial valuation, price, and greening level. The Govt. controls carbon emissions, environmental burden, and revenue by imposing different policies. The entire problem is classified into six scenarios based on different Govt. policies and supply chain (SC) members' cooperation and non-cooperation. The scenarios are modeled between Govt. and SC members and a bi-level interactive non-linear optimization problem is formulated. Finally, a numerical experiment is performed and sensitivity analyses of various parameters are conducted. The result pursues that the environmental burden is reduced when the Govt takes two initiatives: imposing a tax on the new products and providing a subsidy to the re-manufacturer. Also, the SC with members' cooperation emits the least carbon emissions while non-cooperation gives the highest revenue to the Govt. and makes a sustainable environment.</t>
  </si>
  <si>
    <t>[Saha, Mritunjoy; Giri, Raghu Nandan] Vidyasagar Univ, Dept Appl Math Oceanol &amp; Comp Programming, Midnapore 721102, India</t>
  </si>
  <si>
    <t>AMER INST MATHEMATICAL SCIENCES-AIMS</t>
  </si>
  <si>
    <t>SPRINGFIELD</t>
  </si>
  <si>
    <t>PO BOX 2604, SPRINGFIELD, MO 65801-2604, UNITED STATES</t>
  </si>
  <si>
    <t>1547-5816</t>
  </si>
  <si>
    <t>1553-166X</t>
  </si>
  <si>
    <t>J IND MANAG OPTIM</t>
  </si>
  <si>
    <t>J. Ind. Manag. Optim.</t>
  </si>
  <si>
    <t>MAR</t>
  </si>
  <si>
    <t>10.3934/jimo.2023114</t>
  </si>
  <si>
    <t>Engineering, Multidisciplinary; Operations Research &amp; Management Science; Mathematics, Interdisciplinary Applications</t>
  </si>
  <si>
    <t>Engineering; Operations Research &amp; Management Science; Mathematics</t>
  </si>
  <si>
    <t>Santra, HK; Banerjee, D</t>
  </si>
  <si>
    <t>Santra, Hiran Kanti; Banerjee, Debdulal</t>
  </si>
  <si>
    <t>Bioactivity study and metabolic profiling of Colletotrichum alatae LCS1, an endophyte of club moss Lycopodium clavatum L.</t>
  </si>
  <si>
    <t>PLOS ONE</t>
  </si>
  <si>
    <t>[Santra, Hiran Kanti; Banerjee, Debdulal] Vidyasagar Univ, Dept Bot &amp; Forestry, Microbiol &amp; Microbial Biotechnol Lab, Midnapore, W Bengal, India</t>
  </si>
  <si>
    <t>Banerjee, D (corresponding author), Vidyasagar Univ, Dept Bot &amp; Forestry, Microbiol &amp; Microbial Biotechnol Lab, Midnapore, W Bengal, India.</t>
  </si>
  <si>
    <t>PUBLIC LIBRARY SCIENCE</t>
  </si>
  <si>
    <t>SAN FRANCISCO</t>
  </si>
  <si>
    <t>1160 BATTERY STREET, STE 100, SAN FRANCISCO, CA 94111 USA</t>
  </si>
  <si>
    <t>1932-6203</t>
  </si>
  <si>
    <t>10.1371/journal.pone.0267302</t>
  </si>
  <si>
    <t>Multidisciplinary Sciences</t>
  </si>
  <si>
    <t>Science &amp; Technology - Other Topics</t>
  </si>
  <si>
    <t>gold, Green Published</t>
  </si>
  <si>
    <t>Bera, D; Dutta, D</t>
  </si>
  <si>
    <t>Bera, Debarati; Dutta, Dipanwita</t>
  </si>
  <si>
    <t>A Comprehensive Evaluation of Agricultural Drought Vulnerability Using Fuzzy-AHP-Based Composite Index Integrating Sensitivity and Adaptive Capacity</t>
  </si>
  <si>
    <t>HYDROLOGICAL PROCESSES</t>
  </si>
  <si>
    <t>adaptive capacity index; agricultural drought index; fuzzy-AHP; ground water stress; sensitive index</t>
  </si>
  <si>
    <t>STANDARDIZED PRECIPITATION INDEX; ANALYTIC HIERARCHY PROCESS; CLIMATE-CHANGE; RISK-ASSESSMENT; INDIA; EASTERN; MAIZE; ADAPTATION; RAJASTHAN; DISTRICT</t>
  </si>
  <si>
    <t>With increasing extreme weather events, ground water crisis and population expansion, crop stress and production failure have emerged as critical challenges. Agricultural drought vulnerability (ADV) at local and regional scales has become a global concern as it is directly related to food security, hunger issues and poverty. The Kangsabati river basin is one of the major drought-prone river basin in the eastern India and frequently affected by the reduction of crop production or crop failure because of fluctuation of monsoonal rainfalls, poor irrigation system and harsh edaphic factors. In this context, this study focuses on assessing agricultural vulnerability in the Kangsabati basin using multi-sensor datasets and geospatial techniques. The ADV has been assessed through multi-source data sets covering meteorological, agricultural, soil and socio-economic aspects using a powerful, systematic, and flexible decision-making fuzzy-based analytic hierarchy process (fuzzy-AHP) technique. The ADV index is a functional product of two composite indices: the sensitivity index (SI) and the adaptivity index. The SI is derived from components like the intensity of agricultural drought index, groundwater stress, soil erosion, percentage of cultivators, marginal workers and agricultural land. Adaptive capacity depends upon human, financial, physical, infrastructural and natural capital. Each index was derived considering various factors using fuzzy-AHP methods for weightage calculation. The composite indices revealed the variation of resource distribution precisely in each geographically distinct zone. The study shows that almost 60% of the highly sensitive zone is situated in the upper basin region characterised by undulating lands. A large part of the entire basin (48%) is moderately drought-sensitive. The result also shows that a significant part (35%) of the upper and middle basin is highly vulnerable to agricultural drought. In contrast, the lower basin exhibits low to very low levels of vulnerability to drought. The results indicate that even though some areas are moderate to less sensitive, the vulnerability of agricultural drought has become high due to their limited adaptive capacity. The comprehensive framework developed for assessing ADV has the potential for region-specific policy implementation and sustainable growth.</t>
  </si>
  <si>
    <t>[Bera, Debarati; Dutta, Dipanwita] Vidyasagar Univ, Dept Remote Sensing &amp; GIS, Midnapore, West Bengal, India</t>
  </si>
  <si>
    <t>Dutta, D (corresponding author), Vidyasagar Univ, Dept Remote Sensing &amp; GIS, Midnapore, West Bengal, India.</t>
  </si>
  <si>
    <t>WILEY</t>
  </si>
  <si>
    <t>HOBOKEN</t>
  </si>
  <si>
    <t>111 RIVER ST, HOBOKEN 07030-5774, NJ USA</t>
  </si>
  <si>
    <t>0885-6087</t>
  </si>
  <si>
    <t>1099-1085</t>
  </si>
  <si>
    <t>NOV</t>
  </si>
  <si>
    <t>10.1002/hyp.15331</t>
  </si>
  <si>
    <t>Maity, S</t>
  </si>
  <si>
    <t>Maity, Shrabanti</t>
  </si>
  <si>
    <t>Self help groups, microfinance, financial inclusion and social exclusion: Insight from Assam</t>
  </si>
  <si>
    <t>HELIYON</t>
  </si>
  <si>
    <t>[Maity, Shrabanti] Vidyasagar Univ, Dept Econ, Midnapore, West Bengal, India</t>
  </si>
  <si>
    <t>Maity, S (corresponding author), Vidyasagar Univ, Dept Econ, Midnapore, West Bengal, India.</t>
  </si>
  <si>
    <t>CELL PRESS</t>
  </si>
  <si>
    <t>CAMBRIDGE</t>
  </si>
  <si>
    <t>50 HAMPSHIRE ST, FLOOR 5, CAMBRIDGE, MA 02139 USA</t>
  </si>
  <si>
    <t>2405-8440</t>
  </si>
  <si>
    <t>Heliyon</t>
  </si>
  <si>
    <t>10.1016/j.heliyon.2023.e16477</t>
  </si>
  <si>
    <t>Green Published, gold</t>
  </si>
  <si>
    <t>Dogra, S.; Pal, M.</t>
  </si>
  <si>
    <t>TRANSLATION AND SCALAR MULTIPLICATION ON PICTURE FUZZY IDEAL OF A PS ALGEBRA</t>
  </si>
  <si>
    <t>TWMS JOURNAL OF APPLIED AND ENGINEERING MATHEMATICS</t>
  </si>
  <si>
    <t>[Dogra, S.; Pal, M.] Vidyasagar Univ, Dept Appl Math Oceanol &amp; Comp Programming, Midnapore 721102, India</t>
  </si>
  <si>
    <t>TURKIC WORLD MATHEMATICAL SOC</t>
  </si>
  <si>
    <t>BAKU</t>
  </si>
  <si>
    <t>Z KHALILOV STR, 23, BAKU, AZ 1148, AZERBAIJAN</t>
  </si>
  <si>
    <t>2146-1147</t>
  </si>
  <si>
    <t>TWMS J APPL ENG MATH</t>
  </si>
  <si>
    <t>TWMS J. Appl. Eng. Math.</t>
  </si>
  <si>
    <t>Panja, Subrata; Mondal, Shyamal Kumar</t>
  </si>
  <si>
    <t>Integrating online and offline business of a retailer: A customer utility based inventory model</t>
  </si>
  <si>
    <t>COMPUTERS &amp; INDUSTRIAL ENGINEERING</t>
  </si>
  <si>
    <t>[Panja, Subrata; Mondal, Shyamal Kumar] Vidyasagar Univ, Dept Appl Math Oceanol &amp; Comp Programming, Midnapore 721102, West Bengal, India</t>
  </si>
  <si>
    <t>Mondal, SK (corresponding author), Vidyasagar Univ, Dept Appl Math Oceanol &amp; Comp Programming, Midnapore 721102, West Bengal, India.</t>
  </si>
  <si>
    <t>0360-8352</t>
  </si>
  <si>
    <t>1879-0550</t>
  </si>
  <si>
    <t>COMPUT IND ENG</t>
  </si>
  <si>
    <t>Comput. Ind. Eng.</t>
  </si>
  <si>
    <t>JAN</t>
  </si>
  <si>
    <t>10.1016/j.cie.2022.108888</t>
  </si>
  <si>
    <t>Computer Science, Interdisciplinary Applications; Engineering, Industrial</t>
  </si>
  <si>
    <t>Computer Science; Engineering</t>
  </si>
  <si>
    <t>Mardanya, D; Roy, SK</t>
  </si>
  <si>
    <t>Mardanya, Dharmadas; Roy, Sankar Kumar</t>
  </si>
  <si>
    <t>Time variant multi-objective linear fractional interval-valued transportation problem</t>
  </si>
  <si>
    <t>APPLIED MATHEMATICS-A JOURNAL OF CHINESE UNIVERSITIES SERIES B</t>
  </si>
  <si>
    <t>[Mardanya, Dharmadas; Roy, Sankar Kumar] Vidyasagar Univ, Dept Appl Math Oceanol &amp; Comp Programming, Midnapore 721102, W Bengal, India</t>
  </si>
  <si>
    <t>ZHEJIANG UNIV PRESS</t>
  </si>
  <si>
    <t>Hangzhou</t>
  </si>
  <si>
    <t>Xixi Campus, Zhejiang University, No. 148 Tianmushan Road, Hangzhou, Zhejiang, PEOPLES R CHINA</t>
  </si>
  <si>
    <t>1005-1031</t>
  </si>
  <si>
    <t>1993-0445</t>
  </si>
  <si>
    <t>10.1007/s11766-022-4476-8</t>
  </si>
  <si>
    <t>Santra, HK; Dutta, R; Banerjee, D</t>
  </si>
  <si>
    <t>Santra, Hiran Kanti; Dutta, Riya; Banerjee, Debdulal</t>
  </si>
  <si>
    <t>Antifungal activity of bio-active cell-free culture extracts and volatile organic compounds (VOCs) synthesised by endophytic fungal isolates of Garden Nasturtium</t>
  </si>
  <si>
    <t>SCIENTIFIC REPORTS</t>
  </si>
  <si>
    <t>T. majus endophyte; Anti-Candida; Anti-fungal; VOCs</t>
  </si>
  <si>
    <t>CANDIDA-ALBICANS; SALICYLIC-ACID; ESSENTIAL OIL; GROWTH; L.; EPIDEMIOLOGY; INFECTIONS; MECHANISMS; PROTEINASE; VIRULENCE</t>
  </si>
  <si>
    <t>Antimicrobial resistance in fungal pathogens (both human and plant) is increasing alarmingly, leading to massive economic crises. The existing anti-fungal agents are becoming ineffective, and the situation worsens on a logarithmic scale. Novel antifungals from unique natural sources are highly sought to cope sustainably with the situation. Metabolites from endophytic microbes are the best-fitted alternatives in this case. Endophytes are the untapped sources of 'plants' internal microbial population' and are promising sources of effective bio-therapeutic agents. Fungal endophytes were isolated from Tropaeolum majus and checked for antifungal activity against selected plant and human pathogens. Bioactive metabolites were identified through chromatographic techniques. The mode of action of those metabolites was evaluated through various spectroscopic techniques. The production of antifungal metabolite was optimized also. In particular VOCs (volatile organic compounds) of TML9 were tested in vitro for their anti-phytopathogenic activity. Ethyl acetate (EA) extract of cell-free culture components of Colletotrichum aenigma TML3 exhibited broad-spectrum antifungal activity against four species of Candida and the major constituents reported were 6-pentyl-2H-pyran-2-one, 2-Nonanone, 1 propanol 2-amino. The volatile metabolites, trans-ocimene, geraniol, and 4-terpinyl acetate, produced from Curvularia lunata TML9, inhibited the growth of some selected phyto pathogens. EA extract hampered the biofilm formation, minimised the haemolytic effect, and blocked the transformation of Candida albicans (MTCC 4748) from yeast to hyphal form with a Minimum Fungicidal Concentration (MFC) of 200-600 mu g mL(-1). Central carbohydrate metabolism, ergosterol synthesis, and membrane permeability were adversely affected and caused the lethal leakage of necessary macromolecules of C. albicans. Volatile metabolites inhibited the growth of phytopathogens i.e., Rhizoctonia solani, Alternaria alternata, Botrytis cinerea, Cercospora beticola, Penicillium digitatum, Aspergillus fumigatus, Ceratocystis ulmi, Pythium ultimum up to 89% with an IC50 value of 21.3-69.6 mu L 50 mL(-1) and caused leakage of soluble proteins and other intracellular molecules. Citrusy sweet odor volatiles of TML9 cultured in wheat-husk minimised the infections of Penicillium digitatum (green mold), in VOC-exposed sweet oranges (Citrus sinensis). Volatile and non-volatile antifungal metabolites of these two T. majus endophytes hold agricultural and pharmaceutical interests. Metabolites of TML3 have strong anti-Candida activity and require further assessment for therapeutic applications. Also, volatile metabolites of TML9 can be further studied as a source of antifungals. The present investigational outcomes bio-prospects the efficacy of fungal endophytes of Garden Nasturtium.</t>
  </si>
  <si>
    <t>[Santra, Hiran Kanti; Banerjee, Debdulal] Vidyasagar Univ, Dept Bot &amp; Forestry, Microbiol &amp; Microbial Biotechnol Lab, Midnapore 721102, W Bengal, India; [Dutta, Riya; Banerjee, Debdulal] Vidyasagar Univ, Ctr Life Sci, Midnapore 721102, W Bengal, India</t>
  </si>
  <si>
    <t>Banerjee, D (corresponding author), Vidyasagar Univ, Dept Bot &amp; Forestry, Microbiol &amp; Microbial Biotechnol Lab, Midnapore 721102, W Bengal, India.;Banerjee, D (corresponding author), Vidyasagar Univ, Ctr Life Sci, Midnapore 721102, W Bengal, India.</t>
  </si>
  <si>
    <t>NATURE PORTFOLIO</t>
  </si>
  <si>
    <t>BERLIN</t>
  </si>
  <si>
    <t>HEIDELBERGER PLATZ 3, BERLIN, 14197, GERMANY</t>
  </si>
  <si>
    <t>2045-2322</t>
  </si>
  <si>
    <t>SCI REP-UK</t>
  </si>
  <si>
    <t>Sci Rep</t>
  </si>
  <si>
    <t>10.1038/s41598-024-60948-0</t>
  </si>
  <si>
    <t>Antifungal activity of volatile and non-volatile metabolites of endophytes of Chloranthus elatior Sw.</t>
  </si>
  <si>
    <t>FRONTIERS IN PLANT SCIENCE</t>
  </si>
  <si>
    <t>[Santra, Hiran Kanti; Banerjee, Debdulal] Vidyasagar Univ, Dept Bot &amp; Forestry, Microbiol &amp; Microbial Biotechnol Lab, Midnapore, India; [Banerjee, Debdulal] Vidyasagar Univ, Ctr Life Sci, Midnapore, India</t>
  </si>
  <si>
    <t>Banerjee, D (corresponding author), Vidyasagar Univ, Dept Bot &amp; Forestry, Microbiol &amp; Microbial Biotechnol Lab, Midnapore, India.;Banerjee, D (corresponding author), Vidyasagar Univ, Ctr Life Sci, Midnapore, India.</t>
  </si>
  <si>
    <t>FRONTIERS MEDIA SA</t>
  </si>
  <si>
    <t>LAUSANNE</t>
  </si>
  <si>
    <t>AVENUE DU TRIBUNAL FEDERAL 34, LAUSANNE, CH-1015, SWITZERLAND</t>
  </si>
  <si>
    <t>1664-462X</t>
  </si>
  <si>
    <t>10.3389/fpls.2023.1156323</t>
  </si>
  <si>
    <t>Plant Sciences</t>
  </si>
  <si>
    <t>Halder, Bijay; Bandyopadhyay, Jatisankar</t>
  </si>
  <si>
    <t>Monitoring the tropical cyclone 'Yass' and 'Amphan' affected flood inundation using Sentinel-1/2 data and Google Earth Engine</t>
  </si>
  <si>
    <t>MODELING EARTH SYSTEMS AND ENVIRONMENT</t>
  </si>
  <si>
    <t>[Halder, Bijay; Bandyopadhyay, Jatisankar] Vidyasagar Univ, Dept Remote Sensing &amp; GIS, Midnapore, India</t>
  </si>
  <si>
    <t>Halder, B (corresponding author), Vidyasagar Univ, Dept Remote Sensing &amp; GIS, Midnapore, India.</t>
  </si>
  <si>
    <t>2363-6203</t>
  </si>
  <si>
    <t>2363-6211</t>
  </si>
  <si>
    <t>MODEL EARTH SYST ENV</t>
  </si>
  <si>
    <t>Model. Earth Syst. Environ.</t>
  </si>
  <si>
    <t>SEP</t>
  </si>
  <si>
    <t>10.1007/s40808-022-01359-w</t>
  </si>
  <si>
    <t>Environmental Sciences</t>
  </si>
  <si>
    <t>Environmental Sciences &amp; Ecology</t>
  </si>
  <si>
    <t>Bose, K</t>
  </si>
  <si>
    <t>Bose, Kaushik</t>
  </si>
  <si>
    <t>Remembering a pioneering palaeoanthropologist of India - S. R. K. Chopra</t>
  </si>
  <si>
    <t>CURRENT SCIENCE</t>
  </si>
  <si>
    <t>Editorial Material</t>
  </si>
  <si>
    <t>HARITALYANGAR; SIVALIKS</t>
  </si>
  <si>
    <t>[Bose, Kaushik] Vidyasagar Univ, Dept Anthropol, Midnapore 721102, India</t>
  </si>
  <si>
    <t>Bose, K (corresponding author), Vidyasagar Univ, Dept Anthropol, Midnapore 721102, India.</t>
  </si>
  <si>
    <t>INDIAN ACAD SCIENCES</t>
  </si>
  <si>
    <t>BANGALORE</t>
  </si>
  <si>
    <t>C V RAMAN AVENUE, SADASHIVANAGAR, P B #8005, BANGALORE 560 080, INDIA</t>
  </si>
  <si>
    <t>0011-3891</t>
  </si>
  <si>
    <t>Das, Ramesh Chandra; Hussain, Imran</t>
  </si>
  <si>
    <t>Relationships between Military Spending and Green Capital Formation: Complementary or Substitutes?</t>
  </si>
  <si>
    <t>SOCIAL SCIENCES-BASEL</t>
  </si>
  <si>
    <t>[Das, Ramesh Chandra; Hussain, Imran] Vidyasagar Univ, Dept Econ, Midnapore 721102, India</t>
  </si>
  <si>
    <t>Das, RC (corresponding author), Vidyasagar Univ, Dept Econ, Midnapore 721102, India.</t>
  </si>
  <si>
    <t>2076-0760</t>
  </si>
  <si>
    <t>OCT</t>
  </si>
  <si>
    <t>10.3390/socsci12100571</t>
  </si>
  <si>
    <t>Social Sciences, Interdisciplinary</t>
  </si>
  <si>
    <t>Social Sciences - Other Topics</t>
  </si>
  <si>
    <t>Mukhopadhyay, S; Samanta, T; Khanra, SK; Jana, A</t>
  </si>
  <si>
    <t>Mukhopadhyay, Sagarika; Samanta, Tanushree; Khanra, Suman Kalyan; Jana, Anup</t>
  </si>
  <si>
    <t>Adverse Effects of Hydroxychloroquine on Testicular Tissue and Sperm Quality: An Experimental study on Male Albino Rats</t>
  </si>
  <si>
    <t>JOURNAL OF CLINICAL AND DIAGNOSTIC RESEARCH</t>
  </si>
  <si>
    <t>Antioxidant enzyme; Coronavirus disease 2019; Histopathology; Sperm count; Testicular toxicity</t>
  </si>
  <si>
    <t>Introduction: Hydroxychloroquine (HCQ) is a medicine that has mainly been used to treat malaria. During the recent Coronavirus Disease-2019 (COVID-19) period, an abrupt spike in the sale of HCQ has been found. The repurposing of this drug in the treatment of COVID-19 was not only found to be ineffective but also showed many side effects. The adverse effects of the enormous exposure to this drug should be unveiled. Aim: To evaluate the acute effect of HCQ exposure on the male reproductive system by analysing the changes in antioxidant enzyme levels in testicular tissue, sperm quality, and histopathological assessment of testicular tissue using male albino rats as the subject model. Materials and Methods: The present experimental study was done by using male albino rats as the subject model. It was conducted in the laboratory of the Department of Human Physiology at Raja NL Khan Women's College (Autonomous) in Medinipur, West Bengal, Kolkata, India, from the last week of June 2023 to the first week of August 2023. A total 10 male albino rats were obtained and randomly divided into two groups (n=5 in each group), control and HCQ-treated, and were given plain drinking water and 33 mg/kg/day HCQ, respectively, for six consecutive days through oral gavage. After the treatment tenures, rats were euthanised, and antioxidant enzymatic activity was measured by a spectrophotometer. Sperm quality and testicular histopathology were studied. A two-tailed t-test was used to compare the parameters of the control and HCQ-treated groups. Results: The total testicular weight of the control group was 2.37 +/- 0.17 g, in contrast treated group had a significantly lower testicular weight of 1.98 +/- 0.19 g. A significant decrease in total testicular protein in the treated group was found, i.e., 28.86 +/- 3.03 mg/g of tissue, compared to the control group, i.e., 60.46 +/- 2.85 mg/g of tissue. The sperm count of the control group was 4.51 +/- 0.06 million/ml of suspension, while the treated group had a significantly lower sperm count, i.e., 2.73 +/- 0.11 million/mL of suspension. The percentages of sperm motility and viability in the control group were 86 +/- 1.63% and 94 +/- 1.33%, respectively, but in the treated group, the percentages were significantly lower, i.e., 22.66 +/- 1.35% and 24 +/- 1.78%, respectively. The increasing sperm anomalies after HCQ exposure indicate poor sperm quality. Conclusion: Infertility or reduced fertility can result from testicular dysfunction, in continuation, decrease in sperm count, motility, viability, together with abnormalities in sperm morphology, was observed after this exposure. Thus, the present study provides insight into the adverse effects of the use of this drug, which might be associated with male infertility.</t>
  </si>
  <si>
    <t>[Mukhopadhyay, Sagarika; Khanra, Suman Kalyan; Jana, Anup] Vidyasagar Univ, Raja Narendra Lal Khan Womens Coll Autonomous, Dept Human Physiol, Paschim Medinipur, West Bengal, India; [Samanta, Tanushree] Vidyasagar Univ, Raja Narendra Lal Khan Womens Coll Autonomous, Dept Human Physiol, Res Unit, Paschim Medinipur 721102, West Bengal, India</t>
  </si>
  <si>
    <t>Samanta, T (corresponding author), Vidyasagar Univ, Raja Narendra Lal Khan Womens Coll Autonomous, Dept Human Physiol, Res Unit, Paschim Medinipur 721102, West Bengal, India.</t>
  </si>
  <si>
    <t>PREMCHAND SHANTIDEVI RESEARCH FOUNDATION</t>
  </si>
  <si>
    <t>DELHI</t>
  </si>
  <si>
    <t>71 JAIN COLONY, VEER NAGAR, DELHI, 110 007, INDIA</t>
  </si>
  <si>
    <t>2249-782X</t>
  </si>
  <si>
    <t>0973-709X</t>
  </si>
  <si>
    <t>10.7860/JCDR/2024/70943.19681</t>
  </si>
  <si>
    <t>Medicine, General &amp; Internal</t>
  </si>
  <si>
    <t>General &amp; Internal Medicine</t>
  </si>
  <si>
    <t>Hussain, I; Das, RC</t>
  </si>
  <si>
    <t>Hussain, Imran; Das, Ramesh Chandra</t>
  </si>
  <si>
    <t>Interlink between human capital and income in Indian States: An empirical investigation for the period 1998-2019</t>
  </si>
  <si>
    <t>REGIONAL STATISTICS</t>
  </si>
  <si>
    <t>education; health; income; human capital; unit roots; cointegration; VECM; causality</t>
  </si>
  <si>
    <t>ECONOMIC-GROWTH; TIME-SERIES; UNIT-ROOT; HEALTH; COINTEGRATION; EXPENDITURES</t>
  </si>
  <si>
    <t>Economic openness undoubtedly has income-increasing effects across all economies, but it has led to increasing inequality within and across countries. India and its states are no exceptions in this regard. There have been many endogenous factors that justify the increasing growth trends in gross and per capita incomes in the postopenness phase. Human capital formation through spending on health and education heads has been one such endogenous factor. The present study aims to investigate the role of education and health expenditure on income in India's sixteen major states/union territories (UTs) for the 1998-2019 period. By Johansen cointegration analysis, it is found that there is a longrun association among education expenditure, health expenditure and income in fourteen states: Andhra Pradesh, Assam, Bihar, Gujarat, Haryana, Karnataka, Kerala, Madhya Pradesh, Maharashtra, National Capital Territory (NCT) Delhi, Punjab, Rajasthan, Tamil Nadu and Uttar Pradesh. From vector error correction mechanism (VECM) estimation, the long-run causal relation jointly from education and health expenditure to income has been found in Assam, Bihar, Haryana, Maharashtra, NCT Delhi, and Rajasthan. Employing the Granger causality test in a vector autoregressive (VAR) setup, mixed results were found for both unidirectional and bidirectional causality.</t>
  </si>
  <si>
    <t>[Hussain, Imran; Das, Ramesh Chandra] Vidyasagar Univ, Dept Econ, Midnapore, India</t>
  </si>
  <si>
    <t>Das, RC (corresponding author), Vidyasagar Univ, Dept Econ, Midnapore, India.</t>
  </si>
  <si>
    <t>HUNGARIAN CENTRAL STATISTICAL OFFICE</t>
  </si>
  <si>
    <t>BUDAPEST</t>
  </si>
  <si>
    <t>KELETI KAROLY STR 57, BUDAPEST, H-1024, HUNGARY</t>
  </si>
  <si>
    <t>2063-9538</t>
  </si>
  <si>
    <t>2064-8243</t>
  </si>
  <si>
    <t>10.15196/RS140202</t>
  </si>
  <si>
    <t>Geography</t>
  </si>
  <si>
    <t>Nandi, A; Agarwala, N; Sahu, TN</t>
  </si>
  <si>
    <t>Nandi, Ankita; Agarwala, Nidhi; Sahu, Tarak Nath</t>
  </si>
  <si>
    <t>Can Corporate Governance and Sustainability Policies Drive CSR Performance? An Empirical Study</t>
  </si>
  <si>
    <t>ASIA-PACIFIC FINANCIAL MARKETS</t>
  </si>
  <si>
    <t>Audit Committee Characteristics; Environmental and Social Policies; Corporate Social Responsibility; Dynamic Panel Data Analysis; Board Characteristics</t>
  </si>
  <si>
    <t>SOCIAL-RESPONSIBILITY CSR; SUPPLY CHAIN MANAGEMENT; GENDER DIVERSITY; BOARD DIVERSITY; DISCLOSURE; IMPACT</t>
  </si>
  <si>
    <t>This study investigates how board and audit committee characteristics, alongside sustainable policies, influence corporate social responsibility (CSR) performance (Total ESG Score). We also evaluate their individual effects on environmental, social, and governance ratings. Our research focuses on non-financial firms in India's Nifty 500 index. We employ panel data analysis, utilising information sourced from annual reports and Bloomberg. The research outcomes state that, CSR performance is positively impacted by board size as well as the implementation of social and environmental policies. Larger and more independent audit committees, on the contrary, appear to have a negative impact on CSR outcomes. Surprisingly, CSR success did not significantly correlate with either gender's diversity or independence of the board.</t>
  </si>
  <si>
    <t>[Nandi, Ankita] Vidyasagar Univ, Dept Business Adm, Midnapore 721102, West Bengal, India; [Agarwala, Nidhi] Vidyasagar Univ, Dept Commerce, UGC SRF, Midnapore 721102, West Bengal, India; [Sahu, Tarak Nath] Vidyasagar Univ, Dept Commerce &amp; Head, Dept Business Adm, Midnapore 721102, West Bengal, India</t>
  </si>
  <si>
    <t>Sahu, TN (corresponding author), Vidyasagar Univ, Dept Commerce &amp; Head, Dept Business Adm, Midnapore 721102, West Bengal, India.</t>
  </si>
  <si>
    <t>SPRINGER</t>
  </si>
  <si>
    <t>NEW YORK</t>
  </si>
  <si>
    <t>ONE NEW YORK PLAZA, SUITE 4600, NEW YORK, NY, UNITED STATES</t>
  </si>
  <si>
    <t>1387-2834</t>
  </si>
  <si>
    <t>1573-6946</t>
  </si>
  <si>
    <t>10.1007/s10690-024-09446-x</t>
  </si>
  <si>
    <t>Economics</t>
  </si>
  <si>
    <t>Business &amp; Economics</t>
  </si>
  <si>
    <t>Parua, Poulami; Saha, Kanchan; Sarkhel, Sumana; Chatterjee, Upasana; Jamal, Nuzhat Ara; Pradhan, Simi Manna</t>
  </si>
  <si>
    <t>Synthesis of silver nanoparticles using Quillaja saponaria Molina bark extract and its antivenom activities</t>
  </si>
  <si>
    <t>INDIAN JOURNAL OF EXPERIMENTAL BIOLOGY</t>
  </si>
  <si>
    <t>[Parua, Poulami; Jamal, Nuzhat Ara] Vidyasagar Univ, Ctr Life Sci, Paschim Medinipur 721102, W Bengal, India; [Saha, Kanchan; Sarkhel, Sumana] Vidyasagar Univ, Dept Human Physiol Community Hlth, Paschim Medinipur 721102, W Bengal, India; [Chatterjee, Upasana] Vidyasagar Univ, Dept Microbiol, Paschim Medinipur 721102, W Bengal, India; [Pradhan, Simi Manna] Vidyasagar Univ, Dept Biomed Lab Sci &amp; Management, Paschim Medinipur 721102, W Bengal, India</t>
  </si>
  <si>
    <t>Vidyasagar University; Vidyasagar University; Vidyasagar University; Vidyasagar University</t>
  </si>
  <si>
    <t>Sarkhel, S (corresponding author), Vidyasagar Univ, Dept Human Physiol Community Hlth, Paschim Medinipur 721102, W Bengal, India.</t>
  </si>
  <si>
    <t>NATL INST SCIENCE COMMUNICATION-NISCAIR</t>
  </si>
  <si>
    <t>DR K S KRISHNAN MARG, PUSA CAMPUS, NEW DELHI 110 012, INDIA</t>
  </si>
  <si>
    <t>0019-5189</t>
  </si>
  <si>
    <t>0975-1009</t>
  </si>
  <si>
    <t>10.56042/ijeb.v61i10.1653</t>
  </si>
  <si>
    <t>Biology</t>
  </si>
  <si>
    <t>Life Sciences &amp; Biomedicine - Other Topics</t>
  </si>
  <si>
    <t>Jana, S; Sahu, TN</t>
  </si>
  <si>
    <t>Jana, Susovon; Sahu, Tarak Nath</t>
  </si>
  <si>
    <t>Can diversification be improved by using cryptocurrencies? Evidence from Indian equity market</t>
  </si>
  <si>
    <t>JOURNAL OF FINANCIAL ECONOMIC POLICY</t>
  </si>
  <si>
    <t>[Jana, Susovon; Sahu, Tarak Nath] Vidyasagar Univ, Dept Business Adm, Midnapore, India</t>
  </si>
  <si>
    <t>Sahu, TN (corresponding author), Vidyasagar Univ, Dept Business Adm, Midnapore, India.</t>
  </si>
  <si>
    <t>EMERALD GROUP PUBLISHING LTD</t>
  </si>
  <si>
    <t>Leeds</t>
  </si>
  <si>
    <t>Floor 5, Northspring 21-23 Wellington Street, Leeds, W YORKSHIRE, ENGLAND</t>
  </si>
  <si>
    <t>1757-6385</t>
  </si>
  <si>
    <t>1757-6393</t>
  </si>
  <si>
    <t>10.1108/JFEP-02-2023-0047</t>
  </si>
  <si>
    <t>Ghorai, Ganesh; Poulik, Soumitra</t>
  </si>
  <si>
    <t>Estimation of most effected cycles and busiest network route based on complexity function of graph in fuzzy environment (vol 55, pg 4557, 2022)</t>
  </si>
  <si>
    <t>ARTIFICIAL INTELLIGENCE REVIEW</t>
  </si>
  <si>
    <t>Correction</t>
  </si>
  <si>
    <t>[Ghorai, Ganesh; Poulik, Soumitra] Vidyasagar Univ, Dept Appl Math Oceanol &amp; Comp Programming, Midnapore 721102, W Bengal, India</t>
  </si>
  <si>
    <t>Ghorai, G (corresponding author), Vidyasagar Univ, Dept Appl Math Oceanol &amp; Comp Programming, Midnapore 721102, W Bengal, India.</t>
  </si>
  <si>
    <t>DORDRECHT</t>
  </si>
  <si>
    <t>VAN GODEWIJCKSTRAAT 30, 3311 GZ DORDRECHT, NETHERLANDS</t>
  </si>
  <si>
    <t>0269-2821</t>
  </si>
  <si>
    <t>1573-7462</t>
  </si>
  <si>
    <t>ARTIF INTELL REV</t>
  </si>
  <si>
    <t>Artif. Intell. Rev.</t>
  </si>
  <si>
    <t>10.1007/s10462-023-10495-3</t>
  </si>
  <si>
    <t>Computer Science, Artificial Intelligence</t>
  </si>
  <si>
    <t>Bronze</t>
  </si>
  <si>
    <t>Agarwala, N; Pareek, R; Sahu, TN</t>
  </si>
  <si>
    <t>Agarwala, Nidhi; Pareek, Ritu; Sahu, Tarak Nath</t>
  </si>
  <si>
    <t>Does board independence influence CSR performance? A GMM-based dynamic panel data approach</t>
  </si>
  <si>
    <t>SOCIAL RESPONSIBILITY JOURNAL</t>
  </si>
  <si>
    <t>[Agarwala, Nidhi; Pareek, Ritu; Sahu, Tarak Nath] Vidyasagar Univ, Dept Commerce, Midnapore, India</t>
  </si>
  <si>
    <t>Agarwala, N (corresponding author), Vidyasagar Univ, Dept Commerce, Midnapore, India.</t>
  </si>
  <si>
    <t>BINGLEY</t>
  </si>
  <si>
    <t>HOWARD HOUSE, WAGON LANE, BINGLEY BD16 1WA, W YORKSHIRE, ENGLAND</t>
  </si>
  <si>
    <t>1747-1117</t>
  </si>
  <si>
    <t>1758-857X</t>
  </si>
  <si>
    <t>10.1108/SRJ-10-2020-0433</t>
  </si>
  <si>
    <t>Management</t>
  </si>
  <si>
    <t>Production, Optimization, Characterization and Drought Stress Resistance by β-Glucan-Rich Heteropolysaccharide From an Endophytic Fungi Colletotrichum alatae LCS1 Isolated From Clubmoss (Lycopodium clavatum)</t>
  </si>
  <si>
    <t>FRONTIERS IN FUNGAL BIOLOGY</t>
  </si>
  <si>
    <t>[Santra, Hiran Kanti; Banerjee, Debdulal] Vidyasagar Univ, Dept Bot &amp; Forestry, Microbiol &amp; Microbial Biotechnol Lab, Midnapore, India</t>
  </si>
  <si>
    <t>Banerjee, D (corresponding author), Vidyasagar Univ, Dept Bot &amp; Forestry, Microbiol &amp; Microbial Biotechnol Lab, Midnapore, India.</t>
  </si>
  <si>
    <t>2673-6128</t>
  </si>
  <si>
    <t>10.3389/ffunb.2021.796010</t>
  </si>
  <si>
    <t>Mycology</t>
  </si>
  <si>
    <t>New approach to solve fuzzy multi-objective multi-item solid transportation problem</t>
  </si>
  <si>
    <t>RAIRO-OPERATIONS RESEARCH</t>
  </si>
  <si>
    <t>EDP SCIENCES S A</t>
  </si>
  <si>
    <t>LES ULIS CEDEX A</t>
  </si>
  <si>
    <t>17, AVE DU HOGGAR, PA COURTABOEUF, BP 112, F-91944 LES ULIS CEDEX A, FRANCE</t>
  </si>
  <si>
    <t>0399-0559</t>
  </si>
  <si>
    <t>2804-7303</t>
  </si>
  <si>
    <t>RAIRO-OPER RES</t>
  </si>
  <si>
    <t>Rairo-Oper. Res.</t>
  </si>
  <si>
    <t>10.1051/ro/2022211</t>
  </si>
  <si>
    <t>Operations Research &amp; Management Science</t>
  </si>
  <si>
    <t>Green Published, hybrid</t>
  </si>
  <si>
    <t>Mukherjee, Soumi</t>
  </si>
  <si>
    <t>Experiencing Self-translation: Identity, Language and the In-between</t>
  </si>
  <si>
    <t>REVISITING DIASPORA SPACES IN INDIA: A Contemporary Overview</t>
  </si>
  <si>
    <t>Article; Book Chapter</t>
  </si>
  <si>
    <t>[Mukherjee, Soumi] Vidyasagar Univ, English, Midnapore, W Bengal, India</t>
  </si>
  <si>
    <t>Mukherjee, S (corresponding author), Vidyasagar Univ, English, Midnapore, W Bengal, India.</t>
  </si>
  <si>
    <t>Vernon Press</t>
  </si>
  <si>
    <t>Wilmington</t>
  </si>
  <si>
    <t>1000 N West Street, Ste 1200, Wilmington, DE, UNITED STATES</t>
  </si>
  <si>
    <t>Cultural Studies; Literary Theory &amp; Criticism; Social Sciences, Interdisciplinary</t>
  </si>
  <si>
    <t>Book Citation Index – Social Sciences &amp; Humanities (BKCI-SSH)</t>
  </si>
  <si>
    <t>Cultural Studies; Literature; Social Sciences - Other Topics</t>
  </si>
  <si>
    <t>Dolai, Madhusudan; Banu, Ateka; Mondal, Shyamal Kumar</t>
  </si>
  <si>
    <t>ANALYZING AN IMPERFECT PRODUCTION INVENTORY MODEL FOR GREEN PRODUCTS CONSIDERING LEARNING EFFECT ON SCREENING PROCESS UNDER ADVERTISEMENT DEPENDENT CREDIT PERIOD</t>
  </si>
  <si>
    <t>[Dolai, Madhusudan; Banu, Ateka; Mondal, Shyamal Kumar] Vidyasagar Univ, Dept Appl Math Oceanol &amp; Comp Programming, Midnapore 721102, West Bengal, India</t>
  </si>
  <si>
    <t>Dolai, M (corresponding author), Vidyasagar Univ, Dept Appl Math Oceanol &amp; Comp Programming, Midnapore 721102, West Bengal, India.</t>
  </si>
  <si>
    <t>AUG</t>
  </si>
  <si>
    <t>10.3934/jimo.2022182</t>
  </si>
  <si>
    <t>Bhattacharya, Ujjayan</t>
  </si>
  <si>
    <t>Floods, aridity and rivers: An environmental history of pargana Mandalghat in eighteenth-century Bengal</t>
  </si>
  <si>
    <t>INDIAN ECONOMIC AND SOCIAL HISTORY REVIEW</t>
  </si>
  <si>
    <t>[Bhattacharya, Ujjayan] Vidyasagar Univ, Dept Hist, Midnapore, W Bengal, India</t>
  </si>
  <si>
    <t>Bhattacharya, U (corresponding author), Vidyasagar Univ, Dept Hist, Midnapore, W Bengal, India.</t>
  </si>
  <si>
    <t>SAGE PUBLICATIONS INDIA PVT LTD</t>
  </si>
  <si>
    <t>B-1-I-1 MOHAN CO-OPERATIVE INDUSTRIAL AREA, MATHURA RD, POST BAG NO 7, NEW DELHI 110 044, INDIA</t>
  </si>
  <si>
    <t>0019-4646</t>
  </si>
  <si>
    <t>0973-0893</t>
  </si>
  <si>
    <t>10.1177/00194646221109299</t>
  </si>
  <si>
    <t>History</t>
  </si>
  <si>
    <t>Social Science Citation Index (SSCI); Arts &amp; Humanities Citation Index (A&amp;HCI)</t>
  </si>
  <si>
    <t>Nandy, Mithun</t>
  </si>
  <si>
    <t>Impact of R&amp;D activities on the financial performance: empirical evidence from Indian pharmaceutical companies</t>
  </si>
  <si>
    <t>INTERNATIONAL JOURNAL OF PHARMACEUTICAL AND HEALTHCARE MARKETING</t>
  </si>
  <si>
    <t>[Nandy, Mithun] Vidyasagar Univ, Dept Business Adm, Midnapore, India</t>
  </si>
  <si>
    <t>Nandy, M (corresponding author), Vidyasagar Univ, Dept Business Adm, Midnapore, India.</t>
  </si>
  <si>
    <t>1750-6123</t>
  </si>
  <si>
    <t>1750-6131</t>
  </si>
  <si>
    <t>10.1108/IJPHM-08-2020-0067</t>
  </si>
  <si>
    <t>Health Policy &amp; Services</t>
  </si>
  <si>
    <t>Health Care Sciences &amp; Services</t>
  </si>
  <si>
    <t>Kar, TK; Sil, S; Ghosh, A; Barman, A; Chattopadhyay, S</t>
  </si>
  <si>
    <t>Kar, Tarun Kumar; Sil, Sananda; Ghosh, Angshita; Barman, Ananya; Chattopadhyay, Sandip</t>
  </si>
  <si>
    <t>Mitigation of letrozole induced polycystic ovarian syndrome associated inflammatory response and endocrinal dysfunction by Vitex negundo seeds</t>
  </si>
  <si>
    <t>JOURNAL OF OVARIAN RESEARCH</t>
  </si>
  <si>
    <t>Polycystic ovarian syndrome; Vitex Nigundo ethanolic extract; Letrozole; ER alpha; Androgen; Inflammation</t>
  </si>
  <si>
    <t>ESTROGEN-RECEPTOR-ALPHA; SUPEROXIDE-DISMUTASE; EXPRESSION; WOMEN; APOPTOSIS; ANDROGEN; INHIBIT; CELLS; BCL-2; BETA</t>
  </si>
  <si>
    <t>Background Polycystic ovary syndrome (PCOS) is a complex endocrine disorder in women that necessitates effective and safe treatment alternatives. This study aimed to evaluate the therapeutic efficacy of Vitex negundo seed in a letrozole-induced PCOS rat model. Results Findings of the present study demonstrated that administration of hydro-ethanolic extract of Vitex negundo (VNE) effectively restored endocrino-metabolic imbalances associated with PCOS, along with correction of antioxidant enzymes level, proinflammatory cytokines, and apoptotic bio-markers. LC-MS analysis confirmed the presence of cinnamic acid, plumbagin and nigundin B as the prominent phytochemicals in VNE. The observed beneficial effects could be attributed to the active compounds in Vitex negundo extract, which exhibited hypoglycemic, hypolipidemic, and catabolic effects on body weight. Additionally, the extract contributed to hormonal balance regulation by modulating the steroidogenic enzymes, specifically by tuning gonadotropins level and correcting the LH:FSH ratio, through the modulation of ER alpha signalling and downregulation of NR3C4 expression. The antioxidant properties of phytochemicals in Vitex negundo seed were apparent through the correction of SOD and catalase activity. While it's anti-inflammatory and antiapoptotic action were associated with the regulation of mRNA expression of TNF-alpha, IL-6, BAX, Bcl2. Molecular docking study further indicated the molecular interaction of above mentioned active phytocompounds of VNE with ER alpha, NR3C4 and with TNF alpha that plays a critical mechanistic gateway to the regulation of hormone signalling as well as synchronizing the inflammation cascade. Furthermore, the histomorphological improvement of the ovaries supported the ameliorative action of Vitex negundo extract in the letrozole-induced PCOS model. Conclusions This study indicates the potential of Vitex negundo seed as a multifaceted therapeutic option for PCOS. VNE offers a holistic strategy for PCOS with antiandrogenic, anti-inflammatory, and antioxidant properties, driven by its major compounds like cinnamic acid, plumbagine, and nigundin B.</t>
  </si>
  <si>
    <t>[Kar, Tarun Kumar; Sil, Sananda; Ghosh, Angshita; Barman, Ananya; Chattopadhyay, Sandip] Vidyasagar Univ, Dept Biomed Lab Sci &amp; Management, Midnapore, W Bengal, India</t>
  </si>
  <si>
    <t>Chattopadhyay, S (corresponding author), Vidyasagar Univ, Dept Biomed Lab Sci &amp; Management, Midnapore, W Bengal, India.</t>
  </si>
  <si>
    <t>BMC</t>
  </si>
  <si>
    <t>LONDON</t>
  </si>
  <si>
    <t>CAMPUS, 4 CRINAN ST, LONDON N1 9XW, ENGLAND</t>
  </si>
  <si>
    <t>1757-2215</t>
  </si>
  <si>
    <t>10.1186/s13048-024-01378-4</t>
  </si>
  <si>
    <t>Reproductive Biology</t>
  </si>
  <si>
    <t>Kar, S; Maiti, DK; Maiti, AP</t>
  </si>
  <si>
    <t>Kar, Silajit; Maiti, Dilip K.; Maiti, Atasi Patra</t>
  </si>
  <si>
    <t>Impacts of non-locality and memory kernel of fractional derivative, awareness and treatment strategies on HIV/AIDS prevalence</t>
  </si>
  <si>
    <t>CHAOS SOLITONS &amp; FRACTALS</t>
  </si>
  <si>
    <t>HIV/AIDS prevalence; Non-locality and memory kernel of fractional; derivative; Stability analysis; Transition phase; Disease transmission; Caputo fractional derivative</t>
  </si>
  <si>
    <t>DISEASE; STABILITY; MODELS; HIV</t>
  </si>
  <si>
    <t>We propose a Liouville-Caputo non-linear fractional order alpha (0 &lt; alpha &lt;= 1) epidemic model to understand the transmission dynamics of infectious diseases, like HIV/AIDS, and explore the presence of memory kernel of fractional derivative for the precautionary measure against the transmission of disease to control HIV/AIDS prevalence. A proper sex education, which depends on number of HIV and AIDS, to unaware susceptible as well as fear of infection among these aware susceptible are employed here. Treatment compartment is incorporated to treat the symptomatic HIV and AIDS infected individuals.Using the Banach fixed point theorem, we first ensure the positivity, existence and uniqueness of solution, and biologically feasible region. Next after defining the basic reproduction number (R0), its uses on stability (local and global) and direction of bifurcation are manifested here. A quantitative assessment is conducted on R0 and then we explore the sensitive parameter/s, which control the HIV/AIDS prevalence.Numerical experiment is conducted based on the Adams-Bashforth-Moulton predictor corrector method to obtain the approximate solution of the proposed model. Impacts of disease transmission rate, awareness, psychological fear of infection and treatment strategies on the HIV/AIDS prevalence are analysed based on non-linear dynamical tools, like, time series, phase diagram and spectra analysis. An effort is made to see how the order and kernel of the fractional derivative play a crucial role on the dynamics of the system and in the precautionary measure against the transmission of disease during transition as well as post-transition phases. We employ intervention strategies for controlling the spread as well as possibility of eradicating the HIV/AIDS prevalence.It is seen that the reduction of alpha is comparable to awareness, psychological fear of infection and treatment strategies to control disease. Finally, it is shown that the use of fractional derivative in disease transmission dynamics is one of the most efficient applied mathematics content compatible with the natural characteristics of human memory.</t>
  </si>
  <si>
    <t>[Kar, Silajit; Maiti, Dilip K.] Vidyasagar Univ, Dept Appl Math Oceanol &amp; Comp Programming, Midnapore 721102, WB, India; [Maiti, Atasi Patra] Vidyasagar Univ, Ctr Distance &amp; Online Educ, Midnapore 721102, West Bengal, India</t>
  </si>
  <si>
    <t>Maiti, DK (corresponding author), Vidyasagar Univ, Dept Appl Math Oceanol &amp; Comp Programming, Midnapore 721102, WB, India.</t>
  </si>
  <si>
    <t>0960-0779</t>
  </si>
  <si>
    <t>1873-2887</t>
  </si>
  <si>
    <t>10.1016/j.chaos.2023.114389</t>
  </si>
  <si>
    <t>Mathematics, Interdisciplinary Applications; Physics, Multidisciplinary; Physics, Mathematical</t>
  </si>
  <si>
    <t>Mathematics; Physics</t>
  </si>
  <si>
    <t>Mondal, Subhas; Sahu, Tarak Nath</t>
  </si>
  <si>
    <t>Do green initiatives and green performance affect firm performance? Empirical evidence from India</t>
  </si>
  <si>
    <t>ASIAN JOURNAL OF BUSINESS ETHICS</t>
  </si>
  <si>
    <t>[Mondal, Subhas; Sahu, Tarak Nath] Vidyasagar Univ, Dept Commerce, Midnapore 721102, West Bengal, India; [Sahu, Tarak Nath] Vidyasagar Univ, Dept Business Adm, Midnapore 721102, West Bengal, India</t>
  </si>
  <si>
    <t>Sahu, TN (corresponding author), Vidyasagar Univ, Dept Commerce, Midnapore 721102, West Bengal, India.;Sahu, TN (corresponding author), Vidyasagar Univ, Dept Business Adm, Midnapore 721102, West Bengal, India.</t>
  </si>
  <si>
    <t>2210-6723</t>
  </si>
  <si>
    <t>2210-6731</t>
  </si>
  <si>
    <t>10.1007/s13520-023-00175-4</t>
  </si>
  <si>
    <t>Ethics</t>
  </si>
  <si>
    <t>Ganthya, D; Parai, A; Jana, PC</t>
  </si>
  <si>
    <t>Ganthya, Debabrata; Parai, Arumay; Jana, Paresh Chandra</t>
  </si>
  <si>
    <t>Unconventional photon blockade in four mode coupled optomechanical system</t>
  </si>
  <si>
    <t>PHYSICS LETTERS A</t>
  </si>
  <si>
    <t>[Ganthya, Debabrata; Parai, Arumay; Jana, Paresh Chandra] Vidyasagar Univ, Dept Phys, Midnapore 721102, India</t>
  </si>
  <si>
    <t>Ganthya, D (corresponding author), Vidyasagar Univ, Dept Phys, Midnapore 721102, India.</t>
  </si>
  <si>
    <t>0375-9601</t>
  </si>
  <si>
    <t>1873-2429</t>
  </si>
  <si>
    <t>10.1016/j.physleta.2023.128653</t>
  </si>
  <si>
    <t>Physics, Multidisciplinary</t>
  </si>
  <si>
    <t>Physics</t>
  </si>
  <si>
    <t>Dilip Mahalanabis (1934-2022) Obituary</t>
  </si>
  <si>
    <t>Biographical-Item</t>
  </si>
  <si>
    <t>JAN 25</t>
  </si>
  <si>
    <t>Jana, Jishu; Roy, Sankar Kumar</t>
  </si>
  <si>
    <t>Linguistic Pythagorean hesitant fuzzy matrix game and its application in multi-criteria decision making</t>
  </si>
  <si>
    <t>APPLIED INTELLIGENCE</t>
  </si>
  <si>
    <t>[Jana, Jishu; Roy, Sankar Kumar] Vidyasagar Univ, Dept Appl Math Oceanol &amp; Comp Programming, Midnapore 721102, W Bengal, India</t>
  </si>
  <si>
    <t>0924-669X</t>
  </si>
  <si>
    <t>1573-7497</t>
  </si>
  <si>
    <t>10.1007/s10489-022-03442-2</t>
  </si>
  <si>
    <t>Jana, Abhijit; Roy, Sankar kumar</t>
  </si>
  <si>
    <t>INTRAGUILD PREDATION IN A TRI-TROPHIC AGE-STRUCTURED FISHERY MODEL</t>
  </si>
  <si>
    <t>NUMERICAL ALGEBRA CONTROL AND OPTIMIZATION</t>
  </si>
  <si>
    <t>Prey switching; Crowley-Martin functional response; Hopf bifurcation; optimal harvesting policy; sensitivity analysis</t>
  </si>
  <si>
    <t>HOPF-BIFURCATION ANALYSIS; PREY MODEL; FUNCTIONAL-RESPONSE; SYSTEM; DYNAMICS; STABILITY; CHAOS</t>
  </si>
  <si>
    <t>A common and widespread event in ecosystems is intraguild predation, where both the top predator and intermediate predator compete with each other for the same prey. Also, the top predator hunts and consumes the intermediate predator whenever they get a chance. To investigate the prey switching behavior of the top predator, in this study a tri-trophic intraguild fishery model is obtained. We consider an age-based stage-structured concept by classifying both the predator populations into two sections, considering scenarios like the inability of juveniles to reproduce and their inclusion in hunting. We also harvest only the adult predators in the proposed model. The prey selection procedure of the top predator in an intraguild environment is highly influenced by the population sizes of all the trophic levels. Furthermore, the predation of intermediate predators by top predators is not solely contingent on intermediate-predator density, as the prey population also exerts a significant influence. These scenarios are less studied. Thus, we frame a fresh functional response by modifying the Crowley-Martin functional response. The Hopf bifurcation and its possible directions are discussed at the interior equilibrium point. An optimal harvesting strategy is also developed by Pontryagin's maximum principle. Graphical representations of numerical simulations and sensitivity analysis of the system parameters are included to validate the designed work.</t>
  </si>
  <si>
    <t>[Jana, Abhijit; Roy, Sankar kumar] Vidyasagar Univ, Dept Appl Math, Midnapore 721102, West Bengal, India</t>
  </si>
  <si>
    <t>Roy, SK (corresponding author), Vidyasagar Univ, Dept Appl Math, Midnapore 721102, West Bengal, India.</t>
  </si>
  <si>
    <t>2155-3289</t>
  </si>
  <si>
    <t>2155-3297</t>
  </si>
  <si>
    <t>NUMER ALGEBR CONTROL</t>
  </si>
  <si>
    <t>Numer. Algebr. Control Optim.</t>
  </si>
  <si>
    <t>10.3934/naco.2024036</t>
  </si>
  <si>
    <t>Agarwalla, M; Sahu, TN</t>
  </si>
  <si>
    <t>Agarwalla, Megha; Sahu, Tarak Nath</t>
  </si>
  <si>
    <t>Do human capital development and innovation matter in sustaining economic development? Panel data evidence from selected developing economies</t>
  </si>
  <si>
    <t>SUSTAINABLE DEVELOPMENT</t>
  </si>
  <si>
    <t>economic development; human capital development; innovation; panel VAR</t>
  </si>
  <si>
    <t>RESEARCH-AND-DEVELOPMENT; UNIT-ROOT TESTS; HEALTH EXPENDITURE; CO2 EMISSIONS; GROWTH; EDUCATION; TECHNOLOGY; PERFORMANCE; SPILLOVERS; INFLATION</t>
  </si>
  <si>
    <t>The study investigates the impact of human capital development and innovation on the economic development of 54 developing economies between the time frame 2000 and 2021. Human capital development is viewed here from the two viewpoints: health and education. Empirical results using the panel vector autoregressive model found that government health and education expenditure accelerates the economic progress while tertiary school enrollment impedes it in the short-run. Innovation creates a favorable situation in the economy by means of the application of eco-friendly technology. Moreover, unemployment surges and inflation dampens the developmental level. From panel causality test, feedback causality is found of economic development with the innovation and unemployment. Finally, impulse response function is employed for the robustness of the result. These empirical insights have a significant value in formulating policies that can encourage the innovation and prioritize the formation of human capital through the provision of education and healthcare facilities for enhancing the overall economic activities.</t>
  </si>
  <si>
    <t>[Agarwalla, Megha] Vidyasagar Univ, Ctr Distance &amp; Online Educ, Dept Commerce, Midnapore, West Bengal, India; [Sahu, Tarak Nath] Vidyasagar Univ, Dept Business Adm, Midnapore 721102, West Bengal, India</t>
  </si>
  <si>
    <t>Sahu, TN (corresponding author), Vidyasagar Univ, Dept Business Adm, Midnapore 721102, West Bengal, India.</t>
  </si>
  <si>
    <t>0968-0802</t>
  </si>
  <si>
    <t>1099-1719</t>
  </si>
  <si>
    <t>10.1002/sd.3059</t>
  </si>
  <si>
    <t>Development Studies; Green &amp; Sustainable Science &amp; Technology; Regional &amp; Urban Planning</t>
  </si>
  <si>
    <t>Development Studies; Science &amp; Technology - Other Topics; Public Administration</t>
  </si>
  <si>
    <t>Das, A; Mallick, PH</t>
  </si>
  <si>
    <t>Das, Abhishek; Mallick, Priyanka Halder</t>
  </si>
  <si>
    <t>Exploring livelihood dependency on provisioning ecosystem services in a protected tropical forest area of eastern India: keys to sustainable forest management</t>
  </si>
  <si>
    <t>ENVIRONMENT DEVELOPMENT AND SUSTAINABILITY</t>
  </si>
  <si>
    <t>Forest resources; Livelihood; Resource extraction; Socio-ecological system; Sustainable development; Tropical forest</t>
  </si>
  <si>
    <t>CHITTAGONG HILL TRACTS; RURAL LIVELIHOODS; NATIONAL-PARK; COMMUNITIES; INCOME; KNOWLEDGE; PRODUCTS; SECURITY</t>
  </si>
  <si>
    <t>The tropical dry deciduous forest in eastern India is well-known for its numerous ecosystem services (ES), which contribute to the regional and national economies. However, a comprehensive evaluation of forest ES (FES) has not been performed in this region. Therefore, we endeavored to assess the provisioning FES (PFES) and the degree of dependence of the local people on it and identified the resource extraction techniques to access the desired goods and services. This study was conducted through a semi-structured questionnaire survey spanning 16 villages in the Medinipur forest division in Eastern India. The level of dependency was estimated through the pebble distribution scoring method and livelihood dependence index (LDI). The study documented 16 distinct PFES, of which 10 were the most commonly collected. Overall, our study revealed that the dependency was primarily salient on fuelwood, timber, fodder, and leaves throughout the study area. Additionally, significant differences in the dependence on PFES were established among the villages and a substantial dependency was observed majorly in the post-monsoon seasons. The primary strategies for extracting resources for gathering the required PFES were collection, lopping, and cutting along with unsustainable resource extraction practices like fire. Although there is a strong relationship between forests and livelihood, therefore, the notion of FES must be considered by environmental sustainability and human welfare and comprehend the connection underlying the notions of FES and livelihood, in the establishment of evidence-based policy. Thus, our study yields insights that are useful to policymakers in maintaining and enhancing the FES supply.</t>
  </si>
  <si>
    <t>[Das, Abhishek; Mallick, Priyanka Halder] Vidyasagar Univ, Dept Zool, Midnapore 721102, India</t>
  </si>
  <si>
    <t>Das, A (corresponding author), Vidyasagar Univ, Dept Zool, Midnapore 721102, India.</t>
  </si>
  <si>
    <t>1387-585X</t>
  </si>
  <si>
    <t>1573-2975</t>
  </si>
  <si>
    <t>ENVIRON DEV SUSTAIN</t>
  </si>
  <si>
    <t>Environ. Dev. Sustain.</t>
  </si>
  <si>
    <t>10.1007/s10668-024-04933-7</t>
  </si>
  <si>
    <t>Green &amp; Sustainable Science &amp; Technology; Environmental Sciences</t>
  </si>
  <si>
    <t>Science &amp; Technology - Other Topics; Environmental Sciences &amp; Ecology</t>
  </si>
  <si>
    <t>Dasgupta, Koushiki</t>
  </si>
  <si>
    <t>The Shifting Trajectories of Hindutva: Bharat Sevashram Sangha and the Making of a Saffron Wave in Contemporary West Bengal</t>
  </si>
  <si>
    <t>STUDIES IN INDIAN POLITICS</t>
  </si>
  <si>
    <t>[Dasgupta, Koushiki] Vidyasagar Univ, Dept Hist, Midnapore 721102, W Bengal, India</t>
  </si>
  <si>
    <t>Dasgupta, K (corresponding author), Vidyasagar Univ, Dept Hist, Midnapore 721102, W Bengal, India.</t>
  </si>
  <si>
    <t>2321-0230</t>
  </si>
  <si>
    <t>2321-7472</t>
  </si>
  <si>
    <t>10.1177/23210230231203769</t>
  </si>
  <si>
    <t>Political Science</t>
  </si>
  <si>
    <t>Government &amp; Law</t>
  </si>
  <si>
    <t>Dogra, Shovan; Pal, Madhumangal</t>
  </si>
  <si>
    <t>PICTURE FUZZY SUBSPACE OF A CRISP VECTOR SPACE</t>
  </si>
  <si>
    <t>KRAGUJEVAC JOURNAL OF MATHEMATICS</t>
  </si>
  <si>
    <t>[Dogra, Shovan; Pal, Madhumangal] Vidyasagar Univ, Dept Appl Math Oceanol &amp; Comp programming, Midnapore, India</t>
  </si>
  <si>
    <t>Dogra, S (corresponding author), Vidyasagar Univ, Dept Appl Math Oceanol &amp; Comp programming, Midnapore, India.</t>
  </si>
  <si>
    <t>UNIV KRAGUJEVAC, FAC SCIENCE</t>
  </si>
  <si>
    <t>KRAGUJEVAC</t>
  </si>
  <si>
    <t>PO BOX 60, RADOJA DOMANOVICA 12, KRAGUJEVAC 34000, SERBIA</t>
  </si>
  <si>
    <t>1450-9628</t>
  </si>
  <si>
    <t>10.46793/KgJMat2304.577D</t>
  </si>
  <si>
    <t>Ganthya, Debabrata; Parai, Arumay; Samanta, Anjan; Jana, Paresh Chandra</t>
  </si>
  <si>
    <t>Tunable optically-induced transparency and fano resonance in a two mode coupled micro-cavity system with double optical Kerr effect</t>
  </si>
  <si>
    <t>JOURNAL OF NONLINEAR OPTICAL PHYSICS &amp; MATERIALS</t>
  </si>
  <si>
    <t>[Ganthya, Debabrata; Parai, Arumay; Samanta, Anjan; Jana, Paresh Chandra] Vidyasagar Univ, Dept Phys, Midnapore 721102, India</t>
  </si>
  <si>
    <t>WORLD SCIENTIFIC PUBL CO PTE LTD</t>
  </si>
  <si>
    <t>SINGAPORE</t>
  </si>
  <si>
    <t>5 TOH TUCK LINK, SINGAPORE 596224, SINGAPORE</t>
  </si>
  <si>
    <t>0218-8635</t>
  </si>
  <si>
    <t>1793-6624</t>
  </si>
  <si>
    <t>10.1142/S0218863523500170</t>
  </si>
  <si>
    <t>Optics; Physics, Applied</t>
  </si>
  <si>
    <t>Optics; Physics</t>
  </si>
  <si>
    <t>Freshness-keeping effort vs. sustainability: an efficient approach for perishable supply chain system</t>
  </si>
  <si>
    <t>Perishable supply chain; energy consumption; freshness-keeping effort; carbon emission; Stackelberg game</t>
  </si>
  <si>
    <t>PRODUCTS; COORDINATION; INVENTORY; RETAILERS; DEMAND; IMPACT; POLICY; PRICE; ITEM</t>
  </si>
  <si>
    <t>Last few decades, unwanted climate change and global warming have forced us to think about the world environment. This paper investigates a perishable supply chain system consisting of one manufacturer, one third-party logistics service provider, and multiple retailers. The logistics provider and retailers use cooling technologies to maintain the product's freshness. Here, consumers' demand is evaluated from the utility function based on price, freshness, and sustainability level. The environmental impacts of the system are measured from the amount of energy consumption and carbon emission. Also, the supply chain members are taking their decisions in cooperation, non-cooperation, and coordination decision scenarios to maximise their profit and reduce total environmental impacts. We develop a general model and a particular model under different decision scenarios. The optimal sustainability level, price, and freshness-keeping-effort (FKE) are derived using the Stackelberg game theory. A numerical experiment as well as sensitivity analyses of various important parameters are conducted. It explores that (i) FKEs have more impact than the sustainability level for the consumption of perishable products. (ii) The retailer-leadership scenario is the most effective for reducing carbon emissions and energy consumption whereas the cooperative decision scenario is better for maintaining the freshness level.</t>
  </si>
  <si>
    <t>10.1080/23302674.2023.2297835</t>
  </si>
  <si>
    <t>Mondal, A; Roy, SK</t>
  </si>
  <si>
    <t>Mondal, Arijit; Roy, Sankar Kumar</t>
  </si>
  <si>
    <t>Fuzzy-stochastic distributional robust approach for microalgae-based bio-plastic supply chain with new sustainability aspects</t>
  </si>
  <si>
    <t>Bio-diesel and bio-plastic supply chain; Risk measure; Flexible carbon constraint; Fuzzy-stochastic; Distributional robust optimization</t>
  </si>
  <si>
    <t>NETWORK DESIGN; BIODIESEL</t>
  </si>
  <si>
    <t>The current study offers a sustainable supply chain model that can be used to identify opportunities and constraints for the future of the microalgae-based bio-diesel and bio-plastic industry. The network's carbon emissions are restricted by an uncertain constraint that allows for flexibility in controlling emissions as needed. The social constraints of the model provides a transparent depiction of labour needs in dynamic business landscape and foster women's empowerment through a preference coefficient. The proposed model introduces a new upside risk measures under fuzzy-stochastic setting to quantify the upward financial risk. To characterize and manage the model uncertainty, a fuzzy-stochastic distributional robust model is presented. Credibility distribution is utilized to handle fuzzy uncertainty, while box and polyhedral uncertainty sets are included to handle stochastic uncertainty. After that, tractable deterministic formulations of the uncertain model for two ambiguity sets are presented to solve the model. Finally, a number of insights are obtained by means of five test problems that are implemented in Python and resolved by one exact and five meta-heuristic algorithms. Experiments indicate that, when faced with uncertainty, two robust models have produced more stable solutions (16.23% and 19.67% higher stability, respectively) than nominal stochastic model. Further, a 4.68% decline in total cost and 3.27% increment in bio-diesel production can be achieved by increasing bio-diesel conversion rate to 10%. In addition, a 9.09% downturn in total cost and 10.44% rise in bio-plastic production can be obtained by 10% increment in bio-plastic conversion rate. Moreover, 45.38% more woman labours can be recruited by increasing the preference coefficient from -0.2 to +0.2.</t>
  </si>
  <si>
    <t>[Mondal, Arijit; Roy, Sankar Kumar] Vidyasagar Univ, Dept Appl Math, Midnapore 721102, West Bengal, India</t>
  </si>
  <si>
    <t>OCT 15</t>
  </si>
  <si>
    <t>10.1016/j.jclepro.2024.143630</t>
  </si>
  <si>
    <t>CORPORATE SOCIAL RESPONSIBILITY AND ENVIRONMENTAL MANAGEMENT</t>
  </si>
  <si>
    <t>1535-3958</t>
  </si>
  <si>
    <t>1535-3966</t>
  </si>
  <si>
    <t>Business; Environmental Studies; Management</t>
  </si>
  <si>
    <t>Business &amp; Economics; Environmental Sciences &amp; Ecology</t>
  </si>
  <si>
    <t>Ghorai, A; Ghosh, K</t>
  </si>
  <si>
    <t>Ghorai, Avijit; Ghosh, Kausik</t>
  </si>
  <si>
    <t>Enhanced river regulation following dam reoperation: Impacts on flow regime, sediment transport, and planform adjustment in a plateau river basin in the lower Ganga plains</t>
  </si>
  <si>
    <t>CATENA</t>
  </si>
  <si>
    <t>Dam reoperation; Enhanced regulation; Flow regime shifts; Planform adjustments; Sediment transport; Sand mining</t>
  </si>
  <si>
    <t>3 GORGES DAM; YANGTZE-RIVER; ELWHA RIVER; DISCHARGE; REMOVAL; CHANNEL; REACH; INDIA; WATER; MORPHODYNAMICS</t>
  </si>
  <si>
    <t>In the last century, more than 58,000 large dams were constructed worldwide. Meanwhile, some of these older dams were renovated/reconstructed and started reoperation with enhanced regulation capacity to meet the rising water demand. However, the impact of dam reoperation on rivers is not thoroughly understood. This study aimed to examine the impact of dam reoperation on the Kangsabati River's flow regime, sediment transport and planform adjustments in upstream and downstream of the reconstructed anicut (like a dam/barrage) in the lower Ganga plains. The anicut structure was built by the British in 1866. It was demolished, underwent further reconstruction, and recommenced operation in 2016. While the Kangsabati reservoir (KR), with 1135 million -m3 (MCM) capacity in 80 km anicut's upstream, has been functional since 1974. Together, these regulation structures enable irrigation across 0.4 million hectare cropland in dry regions. Meanwhile, the KR operation reduced 34 % (1974-2010) and 70 % (2010-2015) flow before the new anicut's reoperation. Likewise, within five years, the reoperation reduced 35 % mean annual flow and two-thirds of the non -monsoon flow, despite the anicut's small 6-MCM storage capacity that redoubled the flow regime shift. After the reoperation (16 %/year), the enhanced water impoundment reduced fluvial landform diversity by submerging upstream channel area and abandoning/exposing downstream landforms, as effectively captured with the non-water/water index (NWI). It led to significant channel planform alterations, with 85 % expansion of the upstream channel, 44 % contraction of the downstream channel, and 72 % variation in both upstream and downstream water levels, unlike before the reoperation. Reoperation disrupted sediment infilling of 1.3 MCM downstream sand mining pits. This deprived the downstream communities, relying on mining activities for their livelihoods. Thereby, the reoperationinduced regulations have ignored upstream and downstream ecological connectivity and ecosystem services, resembling the impacts of any large dam. This requires urgent attention and strategies aimed at restoring river ecology and associated benefits.</t>
  </si>
  <si>
    <t>[Ghorai, Avijit; Ghosh, Kausik] Vidyasagar Univ, Fac Sci, Dept Geog, Midnapore 721102, West Bengal, India</t>
  </si>
  <si>
    <t>Ghosh, K (corresponding author), Vidyasagar Univ, Fac Sci, Dept Geog, Midnapore 721102, West Bengal, India.</t>
  </si>
  <si>
    <t>0341-8162</t>
  </si>
  <si>
    <t>1872-6887</t>
  </si>
  <si>
    <t>10.1016/j.catena.2024.107834</t>
  </si>
  <si>
    <t>Geosciences, Multidisciplinary; Soil Science; Water Resources</t>
  </si>
  <si>
    <t>Geology; Agriculture; Water Resources</t>
  </si>
  <si>
    <t>Agarwala, N; Jana, S; Sahu, TN</t>
  </si>
  <si>
    <t>Agarwala, Nidhi; Jana, Susovon; Sahu, Tarak Nath</t>
  </si>
  <si>
    <t>ESG disclosures and corporate performance: A non-linear and disaggregated approach</t>
  </si>
  <si>
    <t>Environmental; Social; And governance (ESG); Corporate performance; Non-linearity; Panel data analysis</t>
  </si>
  <si>
    <t>SOCIAL-RESPONSIBILITY; ENVIRONMENTAL PERFORMANCE; FIRM PERFORMANCE; FINANCIAL PERFORMANCE; ECONOMIC-PERFORMANCE; IMPACT; GOVERNANCE; SPECIFICATION; MANAGEMENT; COMPANIES</t>
  </si>
  <si>
    <t>The present study explores the association between Environmental Social Governance (ESG) disclosure and the operational, financial, and market-based performance of Indian corporations. The ESG score has been disaggregated into three sub-parts, i.e., EDS, GDS, and SDS (environmental, social, and governance disclosure scores, respectively). Using a sample of 305 companies listed in the NSE 500 (the largest stock exchange in India), linear and non-linear relationships among the variables have been investigated. The data has been compiled from 2014 to 2022 since the Indian government implemented the CSR mandate from the year 2014. The linear results of the dynamic panel data analysis technique have indicated that ESG disclosures significantly impact the market performance of business enterprises. Further, the non-linear results have indicated a U-shaped association between the composite ESG score and market performance. The disintegration of ESG score has revealed that while the social and governance components have a positive linear relationship with all performance indicators, the environmental sub-component has a U-shaped relationship with market performance. Hence, as the findings indicate that ESG-related activities impact firms positively after reaching a threshold, longterm planning and substantial resources are required to be dedicated in this direction.</t>
  </si>
  <si>
    <t>[Agarwala, Nidhi] Vidyasagar Univ, Dept Commerce, Midnapore 721102, West Bengal, India; [Jana, Susovon; Sahu, Tarak Nath] Vidyasagar Univ, Dept Business Adm, Midnapore 721102, West Bengal, India</t>
  </si>
  <si>
    <t>JAN 15</t>
  </si>
  <si>
    <t>10.1016/j.jclepro.2023.140517</t>
  </si>
  <si>
    <t>Bera, Raj Kumar; Mondal, Shyamal Kumar</t>
  </si>
  <si>
    <t>Analyzing the nature of a transportation problem before and during COVID-19 pandemic in multi-fuzzy environment</t>
  </si>
  <si>
    <t>OPSEARCH</t>
  </si>
  <si>
    <t>[Bera, Raj Kumar; Mondal, Shyamal Kumar] Vidyasagar Univ, Dept Appl Math Oceanol &amp; Comp Programming, Midnapore, India</t>
  </si>
  <si>
    <t>Mondal, SK (corresponding author), Vidyasagar Univ, Dept Appl Math Oceanol &amp; Comp Programming, Midnapore, India.</t>
  </si>
  <si>
    <t>SPRINGER INDIA</t>
  </si>
  <si>
    <t>7TH FLOOR, VIJAYA BUILDING, 17, BARAKHAMBA ROAD, NEW DELHI, 110 001, INDIA</t>
  </si>
  <si>
    <t>0030-3887</t>
  </si>
  <si>
    <t>0975-0320</t>
  </si>
  <si>
    <t>Opsearch</t>
  </si>
  <si>
    <t>10.1007/s12597-023-00668-7</t>
  </si>
  <si>
    <t>Ghosh, Chaitali; Maity, Ratnabali; Roy, Aaishi; Mallick, Chhanda</t>
  </si>
  <si>
    <t>Dose-Dependent Protective Effect of Hygrophila auriculata Seeds on Cyproterone Acetate-Induced Testicular Dysfunction</t>
  </si>
  <si>
    <t>REPRODUCTIVE SCIENCES</t>
  </si>
  <si>
    <t>[Ghosh, Chaitali; Maity, Ratnabali; Roy, Aaishi; Mallick, Chhanda] Vidyasagar Univ, Dept Biomed Lab Sci &amp; Management, UGC Innovat Dept, Clin Nutr &amp; Dietet, Midnapore 721102, West Bengal, India</t>
  </si>
  <si>
    <t>Mallick, C (corresponding author), Vidyasagar Univ, Dept Biomed Lab Sci &amp; Management, UGC Innovat Dept, Clin Nutr &amp; Dietet, Midnapore 721102, West Bengal, India.</t>
  </si>
  <si>
    <t>1933-7191</t>
  </si>
  <si>
    <t>1933-7205</t>
  </si>
  <si>
    <t>10.1007/s43032-023-01279-9</t>
  </si>
  <si>
    <t>Obstetrics &amp; Gynecology; Reproductive Biology</t>
  </si>
  <si>
    <t>Santra, Hiran K. K.; Banerjee, Debdulal</t>
  </si>
  <si>
    <t>Broad-Spectrum Antimicrobial Action of Cell-Free Culture Extracts and Volatile Organic Compounds Produced by Endophytic Fungi Curvularia Eragrostidis</t>
  </si>
  <si>
    <t>FRONTIERS IN MICROBIOLOGY</t>
  </si>
  <si>
    <t>[Santra, Hiran K. K.; Banerjee, Debdulal] Vidyasagar Univ, Dept Bot &amp; Forestry, Microbiol &amp; Microbial Biotechnol Lab, Midnapore, India</t>
  </si>
  <si>
    <t>1664-302X</t>
  </si>
  <si>
    <t>10.3389/fmicb.2022.920561</t>
  </si>
  <si>
    <t>Microbiology</t>
  </si>
  <si>
    <t>Shit, Prabir Kumar; Pal, Radha Raman; Dutta, Sutanu</t>
  </si>
  <si>
    <t>A Simple Analytical Model of a GaN MODFET to Study its DC and RF Performance</t>
  </si>
  <si>
    <t>INDIAN JOURNAL OF PURE &amp; APPLIED PHYSICS</t>
  </si>
  <si>
    <t>[Shit, Prabir Kumar; Pal, Radha Raman] Vidyasagar Univ, Dept Phys, Paschim Medinipur, W Bengal, India; [Dutta, Sutanu] Vidyasagar Univ, Dept Elect, Paschim Medinipur, W Bengal, India</t>
  </si>
  <si>
    <t>Dutta, S (corresponding author), Vidyasagar Univ, Dept Elect, Paschim Medinipur, W Bengal, India.</t>
  </si>
  <si>
    <t>0019-5596</t>
  </si>
  <si>
    <t>0975-1041</t>
  </si>
  <si>
    <t>MAY</t>
  </si>
  <si>
    <t>Santra, Hiran Kanti; Maity, Santanu; Banerjee, Debdulal</t>
  </si>
  <si>
    <t>Production of Bioactive Compounds with Broad Spectrum Bactericidal Action, Bio-Film Inhibition and Antilarval Potential by the Secondary Metabolites of the Endophytic Fungus Cochliobolus sp. APS1 Isolated from the Indian Medicinal Herb Andrographis paniculata</t>
  </si>
  <si>
    <t>MOLECULES</t>
  </si>
  <si>
    <t>[Santra, Hiran Kanti; Maity, Santanu; Banerjee, Debdulal] Vidyasagar Univ, Dept Bot &amp; Forestry, Microbiol &amp; Microbial Biotechnol Lab, Midnapore 721102, W Bengal, India</t>
  </si>
  <si>
    <t>Banerjee, D (corresponding author), Vidyasagar Univ, Dept Bot &amp; Forestry, Microbiol &amp; Microbial Biotechnol Lab, Midnapore 721102, W Bengal, India.</t>
  </si>
  <si>
    <t>MDPI AG, Grosspeteranlage 5, CH-4052 BASEL, SWITZERLAND</t>
  </si>
  <si>
    <t>1420-3049</t>
  </si>
  <si>
    <t>10.3390/molecules27051459</t>
  </si>
  <si>
    <t>Biochemistry &amp; Molecular Biology; Chemistry, Multidisciplinary</t>
  </si>
  <si>
    <t>Biochemistry &amp; Molecular Biology; Chemistry</t>
  </si>
  <si>
    <t>Sarkar, K; Mondal, B</t>
  </si>
  <si>
    <t>Sarkar, Kshirod; Mondal, Biswajit</t>
  </si>
  <si>
    <t>Bifurcation and dynamic analysis of prey-predator model with combined nonlinear harvesting</t>
  </si>
  <si>
    <t>INTERNATIONAL JOURNAL OF BIOMATHEMATICS</t>
  </si>
  <si>
    <t>Prey-predator model; nonlinear harvesting; BT bifurcation; backward bifurcation; saddle-node bifurcation; Hopf bifurcation</t>
  </si>
  <si>
    <t>SYSTEM</t>
  </si>
  <si>
    <t>Due to the random search of species and from the economic point of view, combined harvesting is more suitable than selective harvesting. Thus, we have developed and analyzed a prey-predator model with the combined effect of nonlinear harvesting in this research paper. Nonlinear harvesting possesses multiple predator-free and interior equilibrium points in the dynamical system. We have examined the local stability analysis of all the equilibrium points. Besides these various types, rich and complex dynamical behaviors such as backward, saddle-node, Hopf and Bogdanov-Takens (BT) bifurcations, homo-clinic loop and limit cycles appear in this model. Furthermore, interesting phenomena like bi-stability and tri-stability occur in our model between the different equilibrium points. Also, we have derived different threshold values of predator harvesting parameters and prey environmental carrying capacity from these bifurcations to obtain the different harvesting strategies for both species. We have observed that the extinction of predator species may not happen due to backward bifurcation, although a stable predator-free equilibrium (PFE) exists. Finally, numerical simulations are discussed using MATLAB to verify all the theoretical results.</t>
  </si>
  <si>
    <t>[Sarkar, Kshirod; Mondal, Biswajit] Vidyasagar Univ, Raja Narendra Lal Khan Womens Coll Autonomous, Res Ctr Nat &amp; Appl Sci, Midnapore 721102, W Bengal, India</t>
  </si>
  <si>
    <t>Sarkar, K (corresponding author), Vidyasagar Univ, Raja Narendra Lal Khan Womens Coll Autonomous, Res Ctr Nat &amp; Appl Sci, Midnapore 721102, W Bengal, India.</t>
  </si>
  <si>
    <t>1793-5245</t>
  </si>
  <si>
    <t>1793-7159</t>
  </si>
  <si>
    <t>10.1142/S1793524524500104</t>
  </si>
  <si>
    <t>Mathematical &amp; Computational Biology</t>
  </si>
  <si>
    <t>Bioactive metabolites from endophytes of African club moss- Selaginella kraussiana (Kunze) A. Braun exhibit broad-spectrum pharmaceutical utilities</t>
  </si>
  <si>
    <t>SOUTH AFRICAN JOURNAL OF BOTANY</t>
  </si>
  <si>
    <t>S. kraussiana; Endophyte; Bioactive metabolites; Antimicrobial; Antioxidative</t>
  </si>
  <si>
    <t>CANDIDA-ALBICANS; ANTIMICROBIAL ACTIVITY; FUNGUS; ANTIOXIDANT; ACID; ANTIBIOTICS; PROTEINASES; DERIVATIVES; INHIBITION; GROWTH</t>
  </si>
  <si>
    <t>The search for potent natural compounds from plant and microbial sources is increasing logarithmically to combat various types of health issues of which multidrug-resistant microbes and problems related to oxidative stress are the prime ones. Novel secondary metabolites from endophytes have always been potent alternatives to contemporary antimicrobials and antioxidants. The present study shows that two potent endophytic fungal isolates Ascochyta medicaginicola SK16 and Phomopsis sp. SK5 synthesises non-proteinaceous, thermostable secondary metabolites with broad-spectrum antimicrobial, antioxidative, and cytotoxic activity. Bioassay -guided fractionation revealed that the Ethyl acetate (EA) extract of the cell -free culture extract (CFCE) of SK5 and SK16 constitutes ten and eleven secondary metabolites of which 2,4, -di tert butyl phenol, aziridine- 1,2 -amino ethyl, actinobolin, bactobolin, azulene, menthyl acetate, phenol, p-[2-(methylamino)ethyl], and imidazole components were signi fi- cant. SK16 exhibited strong antimicrobial activity against seventeen pathogens including Methicillinresistant Staphylococcus aureus (MRSA), and C. albicans with a minimum microbicidal concentration of 100- 400 m g mL -1 . These metabolites disrupt the microbial cell membranes causing lethal leakage of biomacromolecules- nucleic acid, protein, and potassium ions. Enzymes involved in the EMP pathway, TCA cycle, and gluconeogenesis were also blocked. Both the bio film formation and transition of Candida cells from the yeast-to-hyphal form were inhibited. SK5 metabolites are potent radical scavengers with an IC 50 of 34.25 +/- 0.87 - 195.21 +/- 5.73 m g mL -1 against DPPH, ABTS, FRAP, and H 2 O 2 free radical generators and signi ficantly increased antioxidant parameters in treated peritoneal macrophage cells of male Wistar rats. Also, SK5 metabolites were cytotoxic against breast (T47D), pancreatic (MIA Paca-2), lung (A549) and colon (HCT-116) cancer cells. The present findings suggest that metabolites from endophytes of African club moss hold potent pharmaceutical utilities. (c) 2024 SAAB. Published by Elsevier B.V. All rights reserved.</t>
  </si>
  <si>
    <t>[Santra, Hiran Kanti; Banerjee, Debdulal] Vidyasagar Univ, Microbiol &amp; Microbial Biotechnol Lab, Midnapore 721102, West Bengal, India; [Banerjee, Debdulal] Vidyasagar Univ, Ctr Life Sci, Midnapore 721102, India</t>
  </si>
  <si>
    <t>Banerjee, D (corresponding author), Vidyasagar Univ, Microbiol &amp; Microbial Biotechnol Lab, Midnapore 721102, West Bengal, India.;Banerjee, D (corresponding author), Vidyasagar Univ, Ctr Life Sci, Midnapore 721102, India.</t>
  </si>
  <si>
    <t>0254-6299</t>
  </si>
  <si>
    <t>1727-9321</t>
  </si>
  <si>
    <t>10.1016/j.sajb.2024.04.039</t>
  </si>
  <si>
    <t>Firdaush, Shama; Das, Pinaki</t>
  </si>
  <si>
    <t>Intimate Partner Violence and Its Associated Factors: A Multidimensional Analysis in the Context of India</t>
  </si>
  <si>
    <t>JOURNAL OF ASIAN AND AFRICAN STUDIES</t>
  </si>
  <si>
    <t>[Firdaush, Shama; Das, Pinaki] Vidyasagar Univ, Dept Econ, Midnapore 721102, W Bengal, India</t>
  </si>
  <si>
    <t>Firdaush, S (corresponding author), Vidyasagar Univ, Dept Econ, Midnapore 721102, W Bengal, India.</t>
  </si>
  <si>
    <t>0021-9096</t>
  </si>
  <si>
    <t>1745-2538</t>
  </si>
  <si>
    <t>10.1177/00219096231176748</t>
  </si>
  <si>
    <t>Area Studies</t>
  </si>
  <si>
    <t>Shikary, C; Rudra, S</t>
  </si>
  <si>
    <t>Shikary, Chumki; Rudra, Somnath</t>
  </si>
  <si>
    <t>Assessment of urban-to-urban interaction and its impact on urban development: a study on a backward district of Eastern India</t>
  </si>
  <si>
    <t>Urban-to-urban interaction; Town group; Synthesised Gravity Model; Influential factor; Sustainable urban planning</t>
  </si>
  <si>
    <t>URBANIZATION; CITY; DYNAMICS</t>
  </si>
  <si>
    <t>Rapid population increment of big towns, creation of numerous small-towns, increasing demand for better urban-related facilities from the big towns and availability of better transport facilities always accelerate the process of urban-to-urban interaction. It will be interesting to understand in which pattern and extent the inter-urban interaction is taking place over a backward region like Purulia district, West Bengal. So, to understand the impact of urban-to-urban interaction on the process of urban development, the present study was executed to analyse the urban-to-urban interaction of the towns of four groups for the betterment of the big as well as small-towns in near future. Purulia district has now twenty-eight towns and these towns are grouped based on the distance between each other like the north-eastern town group, central town group, southern town group and western town group for a clear understanding of the pattern of interaction between them. The Synthesised Gravity Model has been applied to identify the pattern and intensity of interaction between the towns in the prescribed town groups which is a modern version of traditional gravity model. To quantify a town's influential factor on another town over the same region, the study used to identify a set of socio-economic variables and the data were collected based on a questionnaire method against these variables. The result of the study shows that in each of the selected town groups the interaction has occurred from small-town to the big town oriented. The study also revealed that the interaction between the towns has a massive impact on the process of urban development for the small and big towns. The suggested planning recommendations based on the study will be very helpful for planners for sustainable urban planning of the statutory as well as census towns in future.</t>
  </si>
  <si>
    <t>[Shikary, Chumki; Rudra, Somnath] Vidyasagar Univ, Dept Geog, Midnapore, West Bengal, India</t>
  </si>
  <si>
    <t>Rudra, S (corresponding author), Vidyasagar Univ, Dept Geog, Midnapore, West Bengal, India.</t>
  </si>
  <si>
    <t>10.1007/s10668-023-03314-w</t>
  </si>
  <si>
    <t>Lady doctors: The untold stories of India's first women in medicine</t>
  </si>
  <si>
    <t>ASIAN JOURNAL OF WOMENS STUDIES</t>
  </si>
  <si>
    <t>[Maity, Abhijit] Vidyasagar Univ, Mahishadal Girls Coll, English Literature, Midnapore, India</t>
  </si>
  <si>
    <t>Maity, A (corresponding author), Vidyasagar Univ, Mahishadal Girls Coll, English Literature, Midnapore, India.</t>
  </si>
  <si>
    <t>1225-9276</t>
  </si>
  <si>
    <t>2377-004X</t>
  </si>
  <si>
    <t>JAN 2</t>
  </si>
  <si>
    <t>10.1080/12259276.2022.2164416</t>
  </si>
  <si>
    <t>Women's Studies</t>
  </si>
  <si>
    <t>Mallick, SK; Rudra, S; Maity, B</t>
  </si>
  <si>
    <t>Mallick, Suraj Kumar; Rudra, Somnath; Maity, Biswajit</t>
  </si>
  <si>
    <t>Unplanned urban built-up growth creates problem in human adaptability: Evidence from a growing up city in eastern Himalayan foothills</t>
  </si>
  <si>
    <t>APPLIED GEOGRAPHY</t>
  </si>
  <si>
    <t>[Mallick, Suraj Kumar; Rudra, Somnath; Maity, Biswajit] Vidyasagar Univ, Dept Geog, Midnapore, W Bengal, India</t>
  </si>
  <si>
    <t>Rudra, S (corresponding author), Vidyasagar Univ, Dept Geog, Midnapore, W Bengal, India.</t>
  </si>
  <si>
    <t>0143-6228</t>
  </si>
  <si>
    <t>1873-7730</t>
  </si>
  <si>
    <t>10.1016/j.apgeog.2022.102842</t>
  </si>
  <si>
    <t>Maity, Souvanik; Maiti, Ramkrishna; Senapati, Tarakeshwar</t>
  </si>
  <si>
    <t>Evaluation of spatio-temporal variation of water quality and source identification of conducive parameters in Damodar River, India</t>
  </si>
  <si>
    <t>ENVIRONMENTAL MONITORING AND ASSESSMENT</t>
  </si>
  <si>
    <t>[Maity, Souvanik; Maiti, Ramkrishna] Vidyasagar Univ, Dept Geog, Midnapore 721102, W Bengal, India; [Senapati, Tarakeshwar] Vidyasagar Univ, Dept Environm Sci, Directorate Distance Educ DDE, Midnapore 721102, W Bengal, India</t>
  </si>
  <si>
    <t>Maity, S (corresponding author), Vidyasagar Univ, Dept Geog, Midnapore 721102, W Bengal, India.</t>
  </si>
  <si>
    <t>0167-6369</t>
  </si>
  <si>
    <t>1573-2959</t>
  </si>
  <si>
    <t>ENVIRON MONIT ASSESS</t>
  </si>
  <si>
    <t>Environ. Monit. Assess.</t>
  </si>
  <si>
    <t>APR</t>
  </si>
  <si>
    <t>10.1007/s10661-022-09955-0</t>
  </si>
  <si>
    <t>Naskar, AK; Dwari, S; Tripathi, S; Mondal, AK</t>
  </si>
  <si>
    <t>Naskar, Ayan Kumar; Dwari, Saurav; Tripathi, Sayantan; Mondal, Amal Kumar</t>
  </si>
  <si>
    <t>Taxonomical and molecular authentication of the Ceropegia candelabrum L. var. candelabrum (Apocynaceae): A new record from Eastern India</t>
  </si>
  <si>
    <t>PLANT SCIENCE TODAY</t>
  </si>
  <si>
    <t>Ceropegia candelabrum; new distribution; biodiversity; morphology; molecular taxonomy</t>
  </si>
  <si>
    <t>WESTERN-GHATS</t>
  </si>
  <si>
    <t>Ceropegia candelabrum L. is the lectotype of the genus Ceropegia that is native to the Western Ghats of India. This species is reporting for the first time from West Bengal, which is the eastern bottleneck of India. This species has very attractive, eye-catching flower characteristics viz., corollatubular; corolla tube long abruptly dilated at the base, claw is fused forming tube-like structure, corolla limb connate at the tip forming a globular cage. We apply both traditional and advanced methodologies to properly authenticate the newly collected species. However, the taxonomy, as well as the molecular (rbcL, ITS, and rbcL+ITS) data, confirm the identity of that species. Detailed morphology, a new distributional geographic area, and molecular identification are presented here.</t>
  </si>
  <si>
    <t>[Naskar, Ayan Kumar; Dwari, Saurav; Tripathi, Sayantan; Mondal, Amal Kumar] Vidyasagar Univ, UGC DRS SAP II Supported Dept, Dept Bot, Plant Taxon Biosystemat &amp; Mol Taxon, Midnapore 721102, West Bengal, India</t>
  </si>
  <si>
    <t>Mondal, AK (corresponding author), Vidyasagar Univ, UGC DRS SAP II Supported Dept, Dept Bot, Plant Taxon Biosystemat &amp; Mol Taxon, Midnapore 721102, West Bengal, India.</t>
  </si>
  <si>
    <t>HORIZON E-PUBLISHING GROUP</t>
  </si>
  <si>
    <t>THIRUVANANTHAPURAM</t>
  </si>
  <si>
    <t>1G, HORIZON PARK ALTHARA MAIN ST, VELLAYAMBALAM, THIRUVANANTHAPURAM, KERALA 695010, INDIA</t>
  </si>
  <si>
    <t>2348-1900</t>
  </si>
  <si>
    <t>10.14719/pst.3006</t>
  </si>
  <si>
    <t>Ghosh, Subrata; Dinda, Santanu; Chatterjee, Nilanjana Das; Bera, Dipankar</t>
  </si>
  <si>
    <t>Linking ecological vulnerability and ecosystem service value in a fast-growing metropolitan area of eastern India: a scenario-based sustainability approach</t>
  </si>
  <si>
    <t>[Ghosh, Subrata; Dinda, Santanu; Chatterjee, Nilanjana Das; Bera, Dipankar] Vidyasagar Univ, Dept Geog, Midnapore 721102, West Bengal, India</t>
  </si>
  <si>
    <t>Ghosh, S (corresponding author), Vidyasagar Univ, Dept Geog, Midnapore 721102, West Bengal, India.</t>
  </si>
  <si>
    <t>10.1007/s10668-023-03966-8</t>
  </si>
  <si>
    <t>Mahapatra, Biswajit; Bose, Kaushik</t>
  </si>
  <si>
    <t>Assessment of Body Frame Size by Elbow Breadth and Frame Index and Its Relation to Body Composition Parameters among Tribal Preschool Children in West Bengal, India</t>
  </si>
  <si>
    <t>INDIAN JOURNAL OF PUBLIC HEALTH</t>
  </si>
  <si>
    <t>[Mahapatra, Biswajit; Bose, Kaushik] Vidyasagar Univ, Dept Anthropol, Midnapore, West Bengal, India</t>
  </si>
  <si>
    <t>Bose, K (corresponding author), Vidyasagar Univ, Dept Anthropol, Midnapore 721102, West Bengal, India.</t>
  </si>
  <si>
    <t>WOLTERS KLUWER MEDKNOW PUBLICATIONS</t>
  </si>
  <si>
    <t>MUMBAI</t>
  </si>
  <si>
    <t>WOLTERS KLUWER INDIA PVT LTD , A-202, 2ND FLR, QUBE, C T S NO 1498A-2 VILLAGE MAROL, ANDHERI EAST, MUMBAI, Maharashtra, INDIA</t>
  </si>
  <si>
    <t>0019-557X</t>
  </si>
  <si>
    <t>2229-7693</t>
  </si>
  <si>
    <t>10.4103/ijph.ijph_1497_22</t>
  </si>
  <si>
    <t>Public, Environmental &amp; Occupational Health</t>
  </si>
  <si>
    <t>Science Citation Index Expanded (SCI-EXPANDED); Social Science Citation Index (SSCI)</t>
  </si>
  <si>
    <t>Ghosh, S</t>
  </si>
  <si>
    <t>Ghosh, Sujay</t>
  </si>
  <si>
    <t>Justice by means of democracy</t>
  </si>
  <si>
    <t>DEMOCRATIZATION</t>
  </si>
  <si>
    <t>[Ghosh, Sujay] Vidyasagar Univ, Midnapore, India</t>
  </si>
  <si>
    <t>Ghosh, S (corresponding author), Vidyasagar Univ, Midnapore, India.</t>
  </si>
  <si>
    <t>1351-0347</t>
  </si>
  <si>
    <t>1743-890X</t>
  </si>
  <si>
    <t>10.1080/13510347.2023.2243227</t>
  </si>
  <si>
    <t>From Mountain Fastness to Coastal Kingdoms: Hard Money and `Cashless' Economies in the Medieval Bay of BengalWorld</t>
  </si>
  <si>
    <t>INTERNATIONAL JOURNAL OF MARITIME HISTORY</t>
  </si>
  <si>
    <t>[Bhattacharya, Ujjayan] Vidyasagar Univ, Midnapore, India</t>
  </si>
  <si>
    <t>Bhattacharya, U (corresponding author), Vidyasagar Univ, Midnapore, India.</t>
  </si>
  <si>
    <t>SAGE PUBLICATIONS LTD</t>
  </si>
  <si>
    <t>1 OLIVERS YARD, 55 CITY ROAD, LONDON EC1Y 1SP, ENGLAND</t>
  </si>
  <si>
    <t>0843-8714</t>
  </si>
  <si>
    <t>2052-7756</t>
  </si>
  <si>
    <t>FEB</t>
  </si>
  <si>
    <t>10.1177/08438714221146921a</t>
  </si>
  <si>
    <t>Citizens and Business Corruption: Challenges before Collective Capability</t>
  </si>
  <si>
    <t>PUBLIC INTEGRITY</t>
  </si>
  <si>
    <t>Business; capability; corruption; democracy; government</t>
  </si>
  <si>
    <t>ACCOUNTABILITY; INFORMATION</t>
  </si>
  <si>
    <t>Corruption enables private gains for public purposes, violates democracy, and incapacitates the majority of people. Though under-discussed, business or corporate corruption rather flourishes from governments' various omissions and commissions. The field-responses in several parts of West Bengal, India reveal that people have sound understanding of both business and government corruption, but their individual efforts are too inadequate in countering corruption. Still, such awareness; and people's continued interest in politics sets the context before collective capability: by non-violent means, people need to use the state's space for asserting empowerment and agency; and revitalize the regulatory agencies, as countervailing forces for strengthening democracy's space against corruption.</t>
  </si>
  <si>
    <t>[Ghosh, Sujay] Vidyasagar Univ, Dept Polit Sci, Midnapore, India</t>
  </si>
  <si>
    <t>Ghosh, S (corresponding author), Vidyasagar Univ, Dept Polit Sci, Midnapore, India.</t>
  </si>
  <si>
    <t>1099-9922</t>
  </si>
  <si>
    <t>1558-0989</t>
  </si>
  <si>
    <t>MAR 3</t>
  </si>
  <si>
    <t>10.1080/10999922.2022.2163047</t>
  </si>
  <si>
    <t>Public Administration</t>
  </si>
  <si>
    <t>Bhattacharya, RK; Das Chatterjee, N; Das, K</t>
  </si>
  <si>
    <t>Bhattacharya, Raj Kumar; Das Chatterjee, Nilanjana; Das, Kousik</t>
  </si>
  <si>
    <t>Channel instability and hydrogeomorphic adjustment in alluvial reach of Kangsabati River, India using Digital Shoreline Analysis System and Acoustic Doppler Current Profiler</t>
  </si>
  <si>
    <t>GEOCARTO INTERNATIONAL</t>
  </si>
  <si>
    <t>[Bhattacharya, Raj Kumar; Das Chatterjee, Nilanjana; Das, Kousik] Vidyasagar Univ, Dept Geog, Midnapore, W Bengal, India</t>
  </si>
  <si>
    <t>Bhattacharya, RK (corresponding author), Vidyasagar Univ, Dept Geog, Midnapore, W Bengal, India.</t>
  </si>
  <si>
    <t>1010-6049</t>
  </si>
  <si>
    <t>1752-0762</t>
  </si>
  <si>
    <t>GEOCARTO INT</t>
  </si>
  <si>
    <t>Geocarto Int.</t>
  </si>
  <si>
    <t>DEC 13</t>
  </si>
  <si>
    <t>10.1080/10106049.2022.2107712</t>
  </si>
  <si>
    <t>Environmental Sciences; Geosciences, Multidisciplinary; Remote Sensing; Imaging Science &amp; Photographic Technology</t>
  </si>
  <si>
    <t>Environmental Sciences &amp; Ecology; Geology; Remote Sensing; Imaging Science &amp; Photographic Technology</t>
  </si>
  <si>
    <t>Sinha, Abhijit; Bag, Sudin</t>
  </si>
  <si>
    <t>Intention of postgraduate students towards the online education system: application of extended technology acceptance model</t>
  </si>
  <si>
    <t>JOURNAL OF APPLIED RESEARCH IN HIGHER EDUCATION</t>
  </si>
  <si>
    <t>[Sinha, Abhijit; Bag, Sudin] Vidyasagar Univ, Midnapore, India</t>
  </si>
  <si>
    <t>Sinha, A (corresponding author), Vidyasagar Univ, Midnapore, India.</t>
  </si>
  <si>
    <t>2050-7003</t>
  </si>
  <si>
    <t>1758-1184</t>
  </si>
  <si>
    <t>10.1108/JARHE-06-2021-0233</t>
  </si>
  <si>
    <t>Education &amp; Educational Research</t>
  </si>
  <si>
    <t>Halder, Bijay</t>
  </si>
  <si>
    <t>Evaluating the risk factor of novel public health disaster Omicron variant: an Indian prospective</t>
  </si>
  <si>
    <t>[Halder, Bijay] Vidyasagar Univ, Dept Remote Sensing &amp; GIS, Midnapore, India</t>
  </si>
  <si>
    <t>10.1007/s40808-022-01395-6</t>
  </si>
  <si>
    <t>Green Published, Bronze</t>
  </si>
  <si>
    <t>Maity, Biswajit; Mallick, Suraj Kumar; Das, Pritiranjan; Rudra, Somnath</t>
  </si>
  <si>
    <t>Comparative analysis of groundwater potentiality zone using fuzzy AHP, frequency ratio and Bayesian weights of evidence methods</t>
  </si>
  <si>
    <t>APPLIED WATER SCIENCE</t>
  </si>
  <si>
    <t>[Maity, Biswajit; Mallick, Suraj Kumar; Das, Pritiranjan; Rudra, Somnath] Vidyasagar Univ, Dept Geog, Midnapore, India</t>
  </si>
  <si>
    <t>Rudra, S (corresponding author), Vidyasagar Univ, Dept Geog, Midnapore, India.</t>
  </si>
  <si>
    <t>2190-5487</t>
  </si>
  <si>
    <t>2190-5495</t>
  </si>
  <si>
    <t>10.1007/s13201-022-01591-w</t>
  </si>
  <si>
    <t>Poulik, Soumitra; Ghorai, Ganesh</t>
  </si>
  <si>
    <t>Estimation of most effected cycles and busiest network route based on complexity function of graph in fuzzy environment</t>
  </si>
  <si>
    <t>[Poulik, Soumitra; Ghorai, Ganesh] Vidyasagar Univ, Dept Appl Math Oceanol &amp; Comp Programming, Midnapore 721102, W Bengal, India</t>
  </si>
  <si>
    <t>10.1007/s10462-021-10111-2</t>
  </si>
  <si>
    <t>Bronze, Green Published</t>
  </si>
  <si>
    <t>Analysing spatio-temporal drought characteristics and copula-based return period in Indian Gangetic Basin (1901-2021)</t>
  </si>
  <si>
    <t>ENVIRONMENTAL SCIENCE AND POLLUTION RESEARCH</t>
  </si>
  <si>
    <t>IMD precipitation data; SPI; VCI; Run theory; Copula theory</t>
  </si>
  <si>
    <t>AGRICULTURAL DROUGHT; CLIMATE-CHANGE; VEGETATION; INDEX; VARIABILITY; SEVERITY; IMPACTS; CHALLENGES; PREDICTION; RAJASTHAN</t>
  </si>
  <si>
    <t>Uncertainty and uneven distribution of monsoonal rainfall and its consequences on crop production is a matter of serious concern in India, specifically, in the Indo-Gangetic plain region. In this study, drought patterns were investigated through standardised precipitation index (SPI) of varying timescales, using the India Meteorological Department (IMD) precipitation data (1901-2021). We analysed the spatio-temporal pattern of different drought characteristics (frequency, duration, severity, intensity) of the Indian Gangetic basin using run theory. The bivariate copula method has been incorporated to combine two drought properties (severity and duration). Copula integrates multivariate distribution and considers the dependency rate among the variables. The five most widely used copulas from various copula families, elliptical (normal, t-copula) and Archimedean (Clayton, Gumbel, Frank), were estimated for modelling, and the best fit copula was selected. The study revealed that seasonal drought is more frequent and intense in the Upper and Middle Gangetic Plain, whereas annual drought is quite scattered in nature. It is worthy to mention that downward drought trends were observed in this agricultural belts significantly after 1965; specifically, in the Upper, Middle, and Trans Gangetic Plain regions. With increasing drought duration and severity, the drought return period raised, but the frequency decreased gradually. Most of the droughts characterised by less duration and severity occurred with a return period below 10 years for the whole region. The major 100 + years return period droughts were to be found after 1960 and their frequencies were significantly higher after 2000. The most recent remarkable droughts with more than 100 years of return occurred during 2008-2011 and 2016-2018 in the Upper and Middle Gangetic plains, whereas in the Lower Gangetic plain, a hundred-year return period drought was occurred during 2010-2013. This study provides agroclimatic-zones-wise significant information of drought characteristics and its nature of occurrence in the Indian Ganga Basin. The results enhance the understanding of drought management and formulation of adaptive strategies to mitigate the adverse impact of droughts.</t>
  </si>
  <si>
    <t>[Bera, Debarati; Dutta, Dipanwita] Vidyasagar Univ, Dept Remote Sensing, Midnapore, West Bengal, India; [Bera, Debarati; Dutta, Dipanwita] Vidyasagar Univ, GIS, Midnapore, West Bengal, India</t>
  </si>
  <si>
    <t>Dutta, D (corresponding author), Vidyasagar Univ, Dept Remote Sensing, Midnapore, West Bengal, India.;Dutta, D (corresponding author), Vidyasagar Univ, GIS, Midnapore, West Bengal, India.</t>
  </si>
  <si>
    <t>0944-1344</t>
  </si>
  <si>
    <t>1614-7499</t>
  </si>
  <si>
    <t>ENVIRON SCI POLLUT R</t>
  </si>
  <si>
    <t>Environ. Sci. Pollut. Res.</t>
  </si>
  <si>
    <t>10.1007/s11356-024-32286-1</t>
  </si>
  <si>
    <t>On the neighborhood inverse sum indeg index of fuzzy graph with application</t>
  </si>
  <si>
    <t>JOURNAL OF APPLIED MATHEMATICS AND COMPUTING</t>
  </si>
  <si>
    <t>Neighborhood inverse sum indeg index; Double star; NI of a vertex; Isomorphic graph; Complete bipartite graph; Carbon emission</t>
  </si>
  <si>
    <t>ENERGY</t>
  </si>
  <si>
    <t>Using fuzzy graph theoretical and computational methods, the multidisciplinary discipline of chemical graph theory examines the molecular formation of a chemical molecule as a fuzzy graph and looks into related mathematical questions. An effective tool in this field that links a numerical value to a graph formation is the topological index. The neighborhood inverse sum indeg index stands out as a contemporary index derived from neighborhood degree considerations. Neighborhood inverse sum indeg index is a crucial graph metric that is applied in real-world applications like corporate networking and signalling on traffic. So this index is generalized in fuzzy graph. In this paper, the neighborhood inverse sum indeg index is explored for some fuzzy graphs like a tree, double star, subgraph, star, complete fuzzy graph, complete bipartite graph, etc. . We evaluate the effect of neighborhood inverse sum indeg index value when the vertex or edge is deleted from a graph. Moreover, the relationship between two isomorphic fuzzy graphs are determined. We have determined the boundedness of this index for some fuzzy graphs like CS(n,alpha 1)\documentclass[12pt]{minimal} \usepackage{amsmath} \usepackage{wasysym} \usepackage{amsfonts} \usepackage{amssymb} \usepackage{amsbsy} \usepackage{mathrsfs} \usepackage{upgreek} \setlength{\oddsidemargin}{-69pt} \begin{document}$$CS(n,\alpha _1)$$\end{document}, Kp1 proves(Kq1 boolean OR Kr1)\documentclass[12pt]{minimal} \usepackage{amsmath} \usepackage{wasysym} \usepackage{amsfonts} \usepackage{amssymb} \usepackage{amsbsy} \usepackage{mathrsfs} \usepackage{upgreek} \setlength{\oddsidemargin}{-69pt} \begin{document}$$K_{p_1}\vee (K_{q_1}\cup K_{r_1})$$\end{document}, etc. Also a couple of results are found. We all aware that one cause of global warming is the carbon emission. Finally we have found out the country which needs to reduce the carbon emissions by applying the concept of neighborhood inverse sum indeg index.</t>
  </si>
  <si>
    <t>[Jana, Umapada; Ghorai, Ganesh] Vidyasagar Univ, Dept Appl Math Oceanol &amp; Comp Programming, Midnapore 721102, West Bengal, India</t>
  </si>
  <si>
    <t>Ghorai, G (corresponding author), Vidyasagar Univ, Dept Appl Math Oceanol &amp; Comp Programming, Midnapore 721102, West Bengal, India.</t>
  </si>
  <si>
    <t>1598-5865</t>
  </si>
  <si>
    <t>1865-2085</t>
  </si>
  <si>
    <t>J APPL MATH COMPUT</t>
  </si>
  <si>
    <t>J. Appl. Math. Comput.</t>
  </si>
  <si>
    <t>10.1007/s12190-024-02006-6</t>
  </si>
  <si>
    <t>Mathematics, Applied; Mathematics</t>
  </si>
  <si>
    <t>First Entire Zagreb Index of Fuzzy Graph and Its Application</t>
  </si>
  <si>
    <t>AXIOMS</t>
  </si>
  <si>
    <t>[Jana, Umapada; Ghorai, Ganesh] Vidyasagar Univ, Dept Appl Math Oceanol &amp; Comp Programming, Midnapore 721102, India</t>
  </si>
  <si>
    <t>Ghorai, G (corresponding author), Vidyasagar Univ, Dept Appl Math Oceanol &amp; Comp Programming, Midnapore 721102, India.</t>
  </si>
  <si>
    <t>2075-1680</t>
  </si>
  <si>
    <t>10.3390/axioms12050415</t>
  </si>
  <si>
    <t>Do firm attributes impact CSR participation? Evidence from a developing economy</t>
  </si>
  <si>
    <t>INTERNATIONAL JOURNAL OF EMERGING MARKETS</t>
  </si>
  <si>
    <t>Firm attributes; Corporate social responsibility; Environment; Social and governance; Dynamic panel data analysis; Non-linearity</t>
  </si>
  <si>
    <t>CORPORATE SOCIAL-RESPONSIBILITY; FINANCIAL PERFORMANCE; SIZE; SPECIFICATION; GOVERNANCE; DISCLOSURE; STRATEGIES; OWNERSHIP; COMPANIES; INDUSTRY</t>
  </si>
  <si>
    <t>PurposeAmidst the growing awareness regarding the social accountability of corporates, the study has attempted to investigate how firm characteristics like size and performance influence corporate social responsibility (CSR) activities in India.Design/methodology/approach236 Indian firms listed on the National Stock Exchange (Nifty 500 index) have been selected for the empirical analysis. The independent variable firm size has been defined through total assets, operation scale and resource access. Another important factor, firm's performance, is also considered as the independent variable. CSR, the dependent variable, has been measured using Bloomberg's Environmental, Social and Governance (ESG) disclosure scores.FindingsFindings of the dynamic panel data analysis have revealed an inversed U-shape relationship between companies' size and CSR, i.e. CSR participation is positively related with small-sized firms, but as the firms become larger in size, their relationship with CSR becomes negative. A negative relationship has also been found between firm performance and CSR, while the age of the firm exhibits a positive association with CSR participation.Originality/valuePoor performance of the larger firms suggests that government regulatory bodies need to take strict steps to enhance supervision. Clear regulations are required to be framed and enforced upon large companies to promote consistent participation in CSR. The present study has endeavoured to offer a distinct viewpoint by considering firm size and CSR to be related in a non-linear manner and has brought forward relevant information from the perspective of an emerging economy like India.</t>
  </si>
  <si>
    <t>[Agarwala, Nidhi; Pareek, Ritu; Sahu, Tarak Nath] Vidyasagar Univ, Dept Commerce, Midnapore, India; [Sahu, Tarak Nath] Vidyasagar Univ, Dept Business Adm, Midnapore, India</t>
  </si>
  <si>
    <t>Sahu, TN (corresponding author), Vidyasagar Univ, Dept Commerce, Midnapore, India.;Sahu, TN (corresponding author), Vidyasagar Univ, Dept Business Adm, Midnapore, India.</t>
  </si>
  <si>
    <t>1746-8809</t>
  </si>
  <si>
    <t>1746-8817</t>
  </si>
  <si>
    <t>DEC 2</t>
  </si>
  <si>
    <t>10.1108/IJOEM-05-2022-0876</t>
  </si>
  <si>
    <t>Business; Economics; Management</t>
  </si>
  <si>
    <t>Bhattacharya, S</t>
  </si>
  <si>
    <t>Bhattacharya, Swatilekha</t>
  </si>
  <si>
    <t>REVISITING THE RESPONSIBILITY TO PROTECT AS AN INTERNATIONAL NORM</t>
  </si>
  <si>
    <t>JOURNAL OF INTERNATIONAL STUDIES-JIS</t>
  </si>
  <si>
    <t>[Bhattacharya, Swatilekha] Vidyasagar Univ, Dept Polit Sci, Midnapore, India</t>
  </si>
  <si>
    <t>Bhattacharya, S (corresponding author), Vidyasagar Univ, Dept Polit Sci, Midnapore, India.</t>
  </si>
  <si>
    <t>UNIV UTARA MALAYSIA PRESS</t>
  </si>
  <si>
    <t>SINTOK</t>
  </si>
  <si>
    <t>UNIV UTARA MALAYSIA PRESS, SINTOK, KEDAH 06010, MALAYSIA</t>
  </si>
  <si>
    <t>1823-691X</t>
  </si>
  <si>
    <t>2289-666X</t>
  </si>
  <si>
    <t>10.32890/jis2022.18.9</t>
  </si>
  <si>
    <t>International Relations</t>
  </si>
  <si>
    <t>Green Accepted, gold</t>
  </si>
  <si>
    <t>Optimization of the Production Parameters of a Novel Exopolysaccharide Chrysosporine from Endophytic Chrysosporium sp. KTL2, and Evaluation of its Antioxidative and Prebiotic Potentialities</t>
  </si>
  <si>
    <t>INDIAN JOURNAL OF MICROBIOLOGY</t>
  </si>
  <si>
    <t>Endophytic fungi; Bioactivity; Chrysosporine; Antioxidant; Prebiotic</t>
  </si>
  <si>
    <t>STRUCTURAL ELUCIDATION; BIOLOGICAL-ACTIVITIES; IN-VITRO; PURIFICATION; ACID; PH</t>
  </si>
  <si>
    <t>Chrysosporine, an exopolysaccharide, was produced by Chrysosporium articulatum KTL2, an endophyte of Ocimum sanctum L. It comprises arabinose, glucose, galactose, and fucose in a molar ratio of approximately 1:5:2:2 with a Mw similar to 2.95 x 10(5) Da. One Variable at A Time, and Response Surface Quadratic Methodology analysed the maximum production of Chrysosporine at optimised laboratory conditions- 14 days of fermentation at 28 degrees C in fresh potato dextrose broth in a 250 mL conical flask with 50 mL medium provided with (g L-1) glucose, 12; tryptone concentration, 1.75; NaCl, 0.05; with medium pH 6.5. Further addition of epigenetic modulator- Histone Methyltransferase Specific Probe BRD4770 promotes a 1.65-fold increase in Chrysosporine production. It is a potent radical scavenger and significantly uplifts some selected enzymatic antioxidant markers in peritoneal macrophage cells. Chrysosporine-fed rats have elevated counts of beneficial microflora of Lactobacillus sp. and less occurrence of putrefying Clostridium perfringens. Present outcomes suggest that Chrysosporine has a pharmaceutical interest as an exogenous antioxidant with prebiotic effectivities.</t>
  </si>
  <si>
    <t>[Santra, Hiran Kanti; Banerjee, Debdulal] Vidyasagar Univ, Dept Bot, Microbiol &amp; Microbial Biotechnol Lab, Midnapore 721102, West Bengal, India; [Banerjee, Debdulal] Vidyasagar Univ, Ctr Life Sci, Midnapore, West Bengal, India</t>
  </si>
  <si>
    <t>Banerjee, D (corresponding author), Vidyasagar Univ, Dept Bot, Microbiol &amp; Microbial Biotechnol Lab, Midnapore 721102, West Bengal, India.;Banerjee, D (corresponding author), Vidyasagar Univ, Ctr Life Sci, Midnapore, West Bengal, India.</t>
  </si>
  <si>
    <t>0046-8991</t>
  </si>
  <si>
    <t>0973-7715</t>
  </si>
  <si>
    <t>10.1007/s12088-024-01419-y</t>
  </si>
  <si>
    <t>Giri, BK; Roy, SK</t>
  </si>
  <si>
    <t>Giri, Binoy Krishna; Roy, Sankar Kumar</t>
  </si>
  <si>
    <t>Fuzzy-random robust flexible programming on sustainable closed-loop renewable energy supply chain</t>
  </si>
  <si>
    <t>Sustainable renewable energy supply chain; Photovoltaic systems; Biogas and incineration plant; Power-to-gas technology; Fuzzy-random robust flexible programming; with Me measure; Utility function based multi-choice conic goal; programming</t>
  </si>
  <si>
    <t>NETWORK DESIGN; MANAGEMENT; SYSTEMS; MODELS</t>
  </si>
  <si>
    <t>Photovoltaic (PV) systems have become a widely accepted method of harnessing solar energy in recent decades. In addition to the growing use of renewable energies are being used due to the depletion of fossil fuel supplies and the corresponding pollution generated by these non-renewable fuels. Since PV systems possess a limited lifespan, and are predicted to eventually become outdated, sustainability and recycling that should be incorporated into the structure of the solar system supply chain. The management of high and low moisture waste (H&amp;LMW) is crucial due to its harmful environmental impacts, including sludge waste, carbon dioxide (CO2), and acid compounds. This study explores the integration of research on H&amp;LMW and PV systems, focusing on energy generation from biogas, incineration power plants, and PV systems. In this respect, we propose a multi -objective mixed -integer programming model to construct a sustainable closed -loop renewable energy supply chain by considering forward and reverse flow through solar, biogas, and incineration power plants. Reducing CO2 with power -to -gas technology is thought to be an environmentally friendly approach. A novel fuzzy -random robust flexible programming approach based on Me measure is proposed, which overcomes the limitations of addressing the uncertainty of the parameters. Next, in order to solve the suggested multiobjective model, a novel strategy known as utility function based multi -choice conic goal programming is presented. A case study explores the sustainable challenges of a closed -loop renewable energy supply network in India's renewable energy sector. The experimental results indicate that 9 candidate locations are selected for solar wafer production facilities, while 10, 9, and 15 locations are chosen for solar cell production, module manufacturing, and solar power plants, respectively. A sensitivity analysis reveals that the proportion of air pollution limitations possessively rises from 100% to 80% corresponding to the aggregate cost increases from INR 8021452 to INR 8056542.</t>
  </si>
  <si>
    <t>[Giri, Binoy Krishna; Roy, Sankar Kumar] Vidyasagar Univ, Dept Appl Math Oceanol &amp; Comp Programming, Midnapore 721102, W Bengal, India</t>
  </si>
  <si>
    <t>JUN 1</t>
  </si>
  <si>
    <t>10.1016/j.apenergy.2024.123044</t>
  </si>
  <si>
    <t>Mandal, M</t>
  </si>
  <si>
    <t>Mandal, Mrinmay</t>
  </si>
  <si>
    <t>Breeding colony contraction of Asian openbill stork (Anastomus oscitans): an eco-spatial monitoring from Keleghai River Bank, India</t>
  </si>
  <si>
    <t>Asian openbill stork; Habitat; Nesting; Breeding colony; Human intervention Keleghai River</t>
  </si>
  <si>
    <t>SUPPORT VECTOR MACHINES; CLASSIFICATION</t>
  </si>
  <si>
    <t>Asian openbill stork (Anastomus oscitans) colonies and also the numbers were enormous before some decades in some villages beside Keleghai River bank. However, there has been a significant decline in both the colonies and their populations. This present study investigates the rapid decline in the number of breeding colonies and birds, exploring the reasons behind this phenomenon. To address these inquiries, the study collects perceptions from various stakeholders through extensive field observations and interviews. Expeditions are conducted to comprehend the prevailing situation and associated circumstances. Qualitative observations reveal that human intervention, both direct and indirect, is limiting the development of stork colonies. Data analysis indicates that 37.5% of respondents attribute the contraction of bird colonies to changes in land use, while 26.3% point to the extermination of larger trees along the colony periphery. Additionally, 18.05% of opinions implicate the heavy use of pesticides and fertilizers in the wetland, 6.94% cite local climate change, and 11.11% cite other reasons. To validate the gathered information, the study employed temporal land use land cover (LULC) classification techniques. Random point pattern analysis from Google Image of 2023 is also utilized to reinforce the survey results. It enhances understanding of the spatio-temporal relationship. Subsequently, the study presents the correlation matrix to elucidate the relationship between stork colonies and contributing factors. It provides a clear insight into the underlying situations. Finally, a comparative analysis of the surveyed and spatial analysis information is conducted to detect and validate the perception of stakeholders. Based on these observations, the study formulates conservation measures for the bird habitat and their colonies in the study area.</t>
  </si>
  <si>
    <t>[Mandal, Mrinmay] Vidyasagar Univ, Dept Geog, Midnapore, India</t>
  </si>
  <si>
    <t>Mandal, M (corresponding author), Vidyasagar Univ, Dept Geog, Midnapore, India.</t>
  </si>
  <si>
    <t>10.1007/s10661-024-12485-6</t>
  </si>
  <si>
    <t>De, S</t>
  </si>
  <si>
    <t>De, Shyamaprasad</t>
  </si>
  <si>
    <t>Disaster, society, and administration: the Midnapore and Burdwan Cyclone of 1874 in Bengal, India</t>
  </si>
  <si>
    <t>THEORETICAL AND APPLIED CLIMATOLOGY</t>
  </si>
  <si>
    <t>Coastal Bengal is one of the most vulnerable territories in India due to its periodic exposure to severe cyclonic storms. In this context, it is noteworthy that during the second half of the nineteenth century, cyclonic appearances in Bengal became more frequent. Official records reveal that devastating cyclones ravaged this province in 1850, 1851, 1864, 1867, 1869, 1874, 1876, 1885, and 1897. However, in 1874, the intensity of the storm and the height of the storm wave were extremely high. Never before had such a severe cyclone, which became known as the Midnapore and Burdwan Cyclone, struck this province. The present article tells the story of this cyclone in the Bengal Province from a historical perspective. The discussion deals mainly with two subjects. First, it briefly analyses the formation and progress of the 1874 cyclone and its landfall in Bengal. The article shows how the violence of the associated wind force and high storm waves affected the province. In this context, the article examines both the physical and human impacts of the cyclone and addresses the crises that resulted in society. The discussion that I then take up looks into the issue of whether this catastrophic destruction helped generate new meteorological research in terms of developing cyclonic theories. Second, the discussion seeks to address several issues regarding what help the survivors received from the state and how the colonial administration handled the crisis. To understand these issues, not only the question of the efficiency of the government's relief operations towards the disaster but also the attitude of the colonial state towards the recovery must be considered. All these are relevant questions in revisiting the cyclone of 1874.</t>
  </si>
  <si>
    <t>[De, Shyamaprasad] Vidyasagar Univ, Fac Hist, Midnapore, West Bengal, India</t>
  </si>
  <si>
    <t>De, S (corresponding author), Vidyasagar Univ, Fac Hist, Midnapore, West Bengal, India.</t>
  </si>
  <si>
    <t>0177-798X</t>
  </si>
  <si>
    <t>1434-4483</t>
  </si>
  <si>
    <t>10.1007/s00704-024-04845-6</t>
  </si>
  <si>
    <t>Meteorology &amp; Atmospheric Sciences</t>
  </si>
  <si>
    <t>The trend of forest ecosystem services assessment in eastern India: a review for future research insights</t>
  </si>
  <si>
    <t>Review</t>
  </si>
  <si>
    <t>[Das, Abhishek; Mallick, Priyanka Halder] Vidyasagar Univ, Dept Zool, Midnapore, India</t>
  </si>
  <si>
    <t>Das, A (corresponding author), Vidyasagar Univ, Dept Zool, Midnapore, India.</t>
  </si>
  <si>
    <t>10.1007/s10661-023-11218-5</t>
  </si>
  <si>
    <t>Rabindranath Tagore in Shifting Paradigms: A Case Study of Transcreating Robert Burns into Bengali</t>
  </si>
  <si>
    <t>LITERARY VOICE</t>
  </si>
  <si>
    <t>[Mukherjee, Soumi] Vidyasagar Univ, Dept English, Midnapore, W Bengal, India</t>
  </si>
  <si>
    <t>Mukherjee, S (corresponding author), Vidyasagar Univ, Dept English, Midnapore, W Bengal, India.</t>
  </si>
  <si>
    <t>PUNJAB</t>
  </si>
  <si>
    <t>LITERARY VOICE, PUNJAB, 00000, INDIA</t>
  </si>
  <si>
    <t>2277-4521</t>
  </si>
  <si>
    <t>2583-8199</t>
  </si>
  <si>
    <t>LIT VOICE</t>
  </si>
  <si>
    <t>Lit. Voice</t>
  </si>
  <si>
    <t>Literary Theory &amp; Criticism</t>
  </si>
  <si>
    <t>Literature</t>
  </si>
  <si>
    <t>Ghosh, S; Pareek, R; Sahu, TN</t>
  </si>
  <si>
    <t>Ghosh, Suchismita; Pareek, Ritu; Sahu, Tarak Nath</t>
  </si>
  <si>
    <t>U-shaped relationship between environmental performance and financial performance of non-financial companies: An empirical assessment</t>
  </si>
  <si>
    <t>[Ghosh, Suchismita; Pareek, Ritu; Sahu, Tarak Nath] Vidyasagar Univ, Dept Commerce, Midnapore 721102, W Bengal, India</t>
  </si>
  <si>
    <t>Sahu, TN (corresponding author), Vidyasagar Univ, Dept Commerce, Midnapore 721102, W Bengal, India.</t>
  </si>
  <si>
    <t>10.1002/csr.2456</t>
  </si>
  <si>
    <t>Majumder, Soumi; Biswas, Debasish</t>
  </si>
  <si>
    <t>A Bibliometric and Co-Occurrence Analysis of Work-Life Balance: Related Literature Published Pre- and During COVID-19 Pandemic</t>
  </si>
  <si>
    <t>INTERNATIONAL JOURNAL OF INFORMATION SYSTEMS AND SUPPLY CHAIN MANAGEMENT</t>
  </si>
  <si>
    <t>[Majumder, Soumi; Biswas, Debasish] Vidyasagar Univ, Dept Business Adm, Midnapore, W Bengal, India</t>
  </si>
  <si>
    <t>Majumder, S (corresponding author), Vidyasagar Univ, Dept Business Adm, Midnapore, W Bengal, India.</t>
  </si>
  <si>
    <t>IGI GLOBAL</t>
  </si>
  <si>
    <t>HERSHEY</t>
  </si>
  <si>
    <t>701 E CHOCOLATE AVE, STE 200, HERSHEY, PA 17033-1240 USA</t>
  </si>
  <si>
    <t>1935-5726</t>
  </si>
  <si>
    <t>1935-5734</t>
  </si>
  <si>
    <t>10.4018/IJISSCM.316182</t>
  </si>
  <si>
    <t>Dutta, B</t>
  </si>
  <si>
    <t>Dutta, Bidyarthi</t>
  </si>
  <si>
    <t>Prof. B. K. Sen: The Evergreen Scholar Curiosus</t>
  </si>
  <si>
    <t>ANNALS OF LIBRARY AND INFORMATION STUDIES</t>
  </si>
  <si>
    <t>[Dutta, Bidyarthi] Vidyasagar Univ, Dept Lib &amp; Informat Sci, Midnapore, W Bengal, India</t>
  </si>
  <si>
    <t>Dutta, B (corresponding author), Vidyasagar Univ, Dept Lib &amp; Informat Sci, Midnapore, W Bengal, India.</t>
  </si>
  <si>
    <t>0972-5423</t>
  </si>
  <si>
    <t>0975-2404</t>
  </si>
  <si>
    <t>ANN LIBR INF STUD</t>
  </si>
  <si>
    <t>Ann. Libr. Inf. Stud.</t>
  </si>
  <si>
    <t>10.56042/alis.v69i4.68277</t>
  </si>
  <si>
    <t>Information Science &amp; Library Science</t>
  </si>
  <si>
    <t>Multifunctional resilience of river health to human service demand in an alluvial quarried reach: a comparison amongst fuzzy logic, entropy, and AHP-based MCDM models</t>
  </si>
  <si>
    <t>[Bhattacharya, Raj Kumar; Das Chatterjee, Nilanjana; Das, Kousik] Vidyasagar Univ Midnapore, Dept Geog, Midnapore 721102, W Bengal, India</t>
  </si>
  <si>
    <t>Bhattacharya, RK (corresponding author), Vidyasagar Univ Midnapore, Dept Geog, Midnapore 721102, W Bengal, India.</t>
  </si>
  <si>
    <t>10.1007/s11356-022-21040-0</t>
  </si>
  <si>
    <t>Raut, Sreenanda; Pal, Madhumangal</t>
  </si>
  <si>
    <t>On chromatic number and perfectness of fuzzy graph</t>
  </si>
  <si>
    <t>INFORMATION SCIENCES</t>
  </si>
  <si>
    <t>[Raut, Sreenanda; Pal, Madhumangal] Vidyasagar Univ, Dept Appl Math Oceanol &amp; Comp Programming, Midnapore 721102, India</t>
  </si>
  <si>
    <t>Raut, S (corresponding author), Vidyasagar Univ, Dept Appl Math Oceanol &amp; Comp Programming, Midnapore 721102, India.</t>
  </si>
  <si>
    <t>ELSEVIER SCIENCE INC</t>
  </si>
  <si>
    <t>STE 800, 230 PARK AVE, NEW YORK, NY 10169 USA</t>
  </si>
  <si>
    <t>0020-0255</t>
  </si>
  <si>
    <t>1872-6291</t>
  </si>
  <si>
    <t>INFORM SCIENCES</t>
  </si>
  <si>
    <t>Inf. Sci.</t>
  </si>
  <si>
    <t>10.1016/j.ins.2022.03.050</t>
  </si>
  <si>
    <t>Singha, A; Khan, M; Roy, S</t>
  </si>
  <si>
    <t>Singha, Anindita; Khan, Meheboob; Roy, Sumita</t>
  </si>
  <si>
    <t>Cholesterol Based Organogelators in Environmental Remediation: Applications in Removal of Toxic Textile Dyes and Oil Spill Recovery</t>
  </si>
  <si>
    <t>LANGMUIR</t>
  </si>
  <si>
    <t>PHASE-SELECTIVE GELATION; WASTE-WATER TREATMENT; ORGANIC-SOLVENTS; ANIONIC DYES; PI-PI; SEPARATION; EFFICIENT; GELATORS; DERIVATIVES; KINETICS</t>
  </si>
  <si>
    <t>Oil spills in the ocean and textile dyes have a catastrophic impact on the environment, economy, and ecosystem. Phase-selective organic gelator dye sorption and oil separation for oil adsorption should meet certain criteria such as facile synthesis, low cost, effective gelation, and recyclability. This study has discovered that an aliphatic chain synthetic amphiphile based on cholesterol can produce organogels in a variety of organic solvents. Numerous methods, such as X-ray diffraction, Fourier-transform infrared spectroscopy, high-resolution scanning electron microscopy, and rheology, have been used extensively to examine and describe these organogels. An environmentally acceptable technique for achieving hazardous dye separation is presented here. For the sustainable filtration of dye-contaminated water, a new, straightforward, one-step method driven by gravitational force has been employed by using a gel column. This approach has shown excellent stability and reusability with repeated use, and it is easily scalable for the effective removal of a wide range of hazardous dyes. Furthermore, because the oil fraction was absorbed in the gel, the study showed how well it might be used to apply phase selectivity to separate the oil-water mixture from marine accidents. Furthermore, a straightforward distillation method can be used to quantitatively recover the oils contained in the gel and gelator molecules in phase-selective gelation. This low-tech, ecofriendly, and highly effective method also offers valuable insights into the development of advanced materials for separating toxic dyes and oil from water.</t>
  </si>
  <si>
    <t>[Singha, Anindita; Khan, Meheboob; Roy, Sumita] Vidyasagar Univ, Dept Chem &amp; Chem Technol, Medinipur 721102, India</t>
  </si>
  <si>
    <t>Roy, S (corresponding author), Vidyasagar Univ, Dept Chem &amp; Chem Technol, Medinipur 721102, India.</t>
  </si>
  <si>
    <t>AMER CHEMICAL SOC</t>
  </si>
  <si>
    <t>WASHINGTON</t>
  </si>
  <si>
    <t>1155 16TH ST, NW, WASHINGTON, DC 20036 USA</t>
  </si>
  <si>
    <t>0743-7463</t>
  </si>
  <si>
    <t>1520-5827</t>
  </si>
  <si>
    <t>SEP 14</t>
  </si>
  <si>
    <t>10.1021/acs.langmuir.4c02289</t>
  </si>
  <si>
    <t>Chemistry, Multidisciplinary; Chemistry, Physical; Materials Science, Multidisciplinary</t>
  </si>
  <si>
    <t>Chemistry; Materials Science</t>
  </si>
  <si>
    <t>Pal, D; Mitra, D; Hazra, S; Ghosh, D</t>
  </si>
  <si>
    <t>Pal, Dibya; Mitra, Dipanwita; Hazra, Sukriti; Ghosh, Debidas</t>
  </si>
  <si>
    <t>Protective Effect of Aloe vera (L.) on Diabetes-Induced Oxidative Stress Linked Spermiological Co-Morbidity in Human and Rat: An In-Vitro Analysis</t>
  </si>
  <si>
    <t>Aloe vera (L.); Diabetes; Spermiological disorders; In-vitro study; Oxidative stress</t>
  </si>
  <si>
    <t>DNA FRAGMENTATION; HUMAN SPERMATOZOA; APOPTOSIS; FLAVONOIDS; INHIBITION; MECHANISMS</t>
  </si>
  <si>
    <t>Diabetes linked reproductive complications are rising problems nowadays. The study focused on the protective efficacy of Aloe vera (L.) on sperm cell damage in an oxidative stress milieu encumbered by a chronic diabetes in human and streptozotocin treated Wistar rat (Rattus norvegicus). Spermatozoa from rat's epididymal washing, and human semen after 3-4 days of abstinence of mating or masturbation were collected from control and diabetes groups. Spermatozoa of human and rat were incubated for 1 or 2 h at 37(0)C in an in-vitro medium separately and considered as normo-glycemic control and diabetes sub-groups. Dose of 1 or, 2 or, 4 mg/ml of Aloe vera (L.) hydro-ethanolic (40:60) extract (AVHE) was given to diabetes samples, considered as sub-sub-group for assessing its protective effect on spermiological and oxidative stress parameters. The motility, viability, plasma membrane integrity, nuclear chromatin decondensation for DNA fragmentation, acrosome cap status, and antioxidative status of human and rat spermatozoa were decreased whereas spermatozoal apoptosis was elevated significantly (p &lt; 0.05), noted by TUNEL assay in diabetes samples compared to the duration-matched control group. Exposure of AVHE to diabetes samples resulted significant rectification (p &lt; 0.05) in the said parameters than the unexposed diabetes group. In control group, AVHE exposure has significant protective effect from spermiological deterioration compared to unexposed control group. Identification of major phytomolecules in AVHE was done by LC-MS study. Diabetes-induced oxidative stress-mediated spermatozoal injuries can be protected by AVHE extract, raise the possibility for potentiating sperm of human for increasing the success rate of in-vitro fertilization-blastocyst implantation.</t>
  </si>
  <si>
    <t>[Pal, Dibya; Mitra, Dipanwita; Hazra, Sukriti; Ghosh, Debidas] Vidyasagar Univ, Dept Biomed Lab Sci &amp; Management, Nutrigen &amp; Publ Hlth Res Lab, Mol Med, Midnapore, West Bengal, India</t>
  </si>
  <si>
    <t>Ghosh, D (corresponding author), Vidyasagar Univ, Dept Biomed Lab Sci &amp; Management, Nutrigen &amp; Publ Hlth Res Lab, Mol Med, Midnapore, West Bengal, India.</t>
  </si>
  <si>
    <t>10.1007/s43032-024-01605-9</t>
  </si>
  <si>
    <t>Prediction on nature of cancer by fuzzy graphoidal covering number using artificial neural network</t>
  </si>
  <si>
    <t>ARTIFICIAL INTELLIGENCE IN MEDICINE</t>
  </si>
  <si>
    <t>Fuzzy graph; Covering problem; Fuzzy graphoidal covering number; Fuzzy shortest path; Cancer type prediction</t>
  </si>
  <si>
    <t>BREAST-CANCER; GRAPHS</t>
  </si>
  <si>
    <t>Predicting the chances of various types of cancers for different organs in the human body is a typical decisionmaking process in medicine and health. The signaling pathways have played a vital role in increasing or decreasing the possibility of the deadliest disease, cancer. To combine the pathways concept and ambiguity in the prediction techniques of such diseases, we have used the proposed research on fuzzy graphoidal covers of fuzzy graphs in this paper. Determining a path with uncertainty and shortest length is a challenging topic of graph theory, and a collection of such shortest paths maintaining specific conditions is defined as a fuzzy graphoidal cover for a fuzzy graph. Also, we have defined fuzzy graphoidal covering number as a new parameter, reflecting the measure of coverage by fuzzy graphoidal covering set in a system. Afterwards, some important characterizations of the fuzzy graphoidal covering number are established with justified proof. Also, specific limit values of this number are provided for particular cases. Then, we developed an efficient algorithm for finding the defined covering set with its space and time complexity. The findings of this proposed study have been composed with an artificial neural network to model a strong tool for resolving an essential issue of medical sciences, the prediction of cancer type in the human body. We have analyzed two types of neural networks such as one one-dimensional and two-dimensional specification, for clarity of the obtained results. Also, we have found out the most possible cancer type is breast cancer from the data of our considered case study as a concluding statement for any decision-maker in the field of health sciences. Finally, sensitivity analysis and comparative study have been done to show the stability of our proposed work.</t>
  </si>
  <si>
    <t>[Bhattacharya, Anushree; Pal, Madhumangal] Vidyasagar Univ, Dept Appl Math Oceanol &amp; Comp Programming, Midnapore 721102, West Bengal, India</t>
  </si>
  <si>
    <t>Pal, M (corresponding author), Vidyasagar Univ, Dept Appl Math Oceanol &amp; Comp Programming, Midnapore 721102, West Bengal, India.</t>
  </si>
  <si>
    <t>0933-3657</t>
  </si>
  <si>
    <t>1873-2860</t>
  </si>
  <si>
    <t>10.1016/j.artmed.2024.102783</t>
  </si>
  <si>
    <t>Computer Science, Artificial Intelligence; Engineering, Biomedical; Medical Informatics</t>
  </si>
  <si>
    <t>Computer Science; Engineering; Medical Informatics</t>
  </si>
  <si>
    <t>Poverty, women's autonomy, and girls' educational attainment at the higher secondary level: Insight from the Indian States</t>
  </si>
  <si>
    <t>POVERTY &amp; PUBLIC POLICY</t>
  </si>
  <si>
    <t>[Maity, Shrabanti] Vidyasagar Univ, Dept Econ, Midnapore, W Bengal, India</t>
  </si>
  <si>
    <t>Maity, S (corresponding author), Vidyasagar Univ, Dept Econ, Midnapore, W Bengal, India.</t>
  </si>
  <si>
    <t>1944-2858</t>
  </si>
  <si>
    <t>10.1002/pop4.381</t>
  </si>
  <si>
    <t>Social Work</t>
  </si>
  <si>
    <t>Das, Ramesh Chandra; Nayak, Aloka</t>
  </si>
  <si>
    <t>Bi-Polar Convergence Analysis of Income and Related Factors in the BRICS Nations: A Stochastic Convergence Approach</t>
  </si>
  <si>
    <t>GLOBAL BUSINESS REVIEW</t>
  </si>
  <si>
    <t>[Das, Ramesh Chandra; Nayak, Aloka] Vidyasagar Univ, Dept Econ, Midnapore 721102, W Bengal, India</t>
  </si>
  <si>
    <t>Das, RC (corresponding author), Vidyasagar Univ, Dept Econ, Midnapore 721102, W Bengal, India.</t>
  </si>
  <si>
    <t>0972-1509</t>
  </si>
  <si>
    <t>0973-0664</t>
  </si>
  <si>
    <t>10.1177/09721509221139689</t>
  </si>
  <si>
    <t>Business; Management</t>
  </si>
  <si>
    <t>Sarkar, Riya; Mitra, Dipanwita; Ghosh, Prabal; Ghosh, Debidas</t>
  </si>
  <si>
    <t>Antiapoptotic and antioxidative efficacy of rhizomes of Curcuma amada on the management of diabetes-induced male infertility in albino rat: An effective fraction selection study</t>
  </si>
  <si>
    <t>JOURNAL OF FOOD BIOCHEMISTRY</t>
  </si>
  <si>
    <t>[Sarkar, Riya; Mitra, Dipanwita; Ghosh, Prabal; Ghosh, Debidas] Vidyasagar Univ, Dept Biomed Lab Sci &amp; Management, Mol Med &amp; Nutrigen Res Lab, Midnapore 721102, W Bengal, India</t>
  </si>
  <si>
    <t>Ghosh, D (corresponding author), Vidyasagar Univ, Dept Biomed Lab Sci &amp; Management, Mol Med &amp; Nutrigen Res Lab, Midnapore 721102, W Bengal, India.</t>
  </si>
  <si>
    <t>0145-8884</t>
  </si>
  <si>
    <t>1745-4514</t>
  </si>
  <si>
    <t>J FOOD BIOCHEM</t>
  </si>
  <si>
    <t>J. Food Biochem.</t>
  </si>
  <si>
    <t>10.1111/jfbc.14290</t>
  </si>
  <si>
    <t>Biochemistry &amp; Molecular Biology; Food Science &amp; Technology</t>
  </si>
  <si>
    <t>Holling-Tanner prey-predator model with Beddington-DeAngelis functional response including delay</t>
  </si>
  <si>
    <t>INTERNATIONAL JOURNAL OF MODELLING AND SIMULATION</t>
  </si>
  <si>
    <t>TAYLOR &amp; FRANCIS INC</t>
  </si>
  <si>
    <t>PHILADELPHIA</t>
  </si>
  <si>
    <t>530 WALNUT STREET, STE 850, PHILADELPHIA, PA 19106 USA</t>
  </si>
  <si>
    <t>0228-6203</t>
  </si>
  <si>
    <t>1925-7082</t>
  </si>
  <si>
    <t>10.1080/02286203.2020.1839168</t>
  </si>
  <si>
    <t>Engineering, Multidisciplinary; Mathematics, Interdisciplinary Applications</t>
  </si>
  <si>
    <t>Engineering; Mathematics</t>
  </si>
  <si>
    <t>De, A</t>
  </si>
  <si>
    <t>De, Asis</t>
  </si>
  <si>
    <t>Fragility as metaphor: disability, difference and postcoloniality in Firdaus Kanga's Trying to Grow</t>
  </si>
  <si>
    <t>POSTCOLONIAL STUDIES</t>
  </si>
  <si>
    <t>Disability; difference; marginal; other; postcolonial</t>
  </si>
  <si>
    <t>Physical or cognitive disability of a person is the embodied form of disablement, whereas disability can be seen as metaphoric of disqualification from being 'normal'. As the mother of the disabled protagonist in Firdaus Kanga's autobiographical debut novel Trying to Grow (1990) tells him, 'It's the heights you reach that count, not the height you are', the issue of physical normalcy appears to be challenged. In this novel, Daryus Kotwal, alias Brit, is the poster-boy of physical disability with 'osteogenesis imperfecta', a disease which makes the bones brittle. This article attempts to investigate how the physical disability experienced by Brit and the fragility of his bones, could be seen as material dimension of impairment and metaphorically equated with the postcolonial nation's societal differences and supposed fragility. This article also draws attention to Brit's Anglicized Parsee identity emphasizing the minority status of the 'different' in the Indian context and focussing on the multi-layered metaphorical ties between disability, difference and postcoloniality as well as between oppression and the possibilities of resistance. This essay finally points out that disability is not a kind of 'medicalized' identity, but the identity of someone who is normally 'able' to face psycho-physical and attitudinal barriers.</t>
  </si>
  <si>
    <t>[De, Asis] Vidyasagar Univ, Mahishadal Raj Coll, Dept English, Midnapore, West Bengal, India; [De, Asis] Ward 18,Tamluk Railway Stn Rd, Purba Medinipur 721636, West Bengal, India</t>
  </si>
  <si>
    <t>De, A (corresponding author), Ward 18,Tamluk Railway Stn Rd, Purba Medinipur 721636, West Bengal, India.</t>
  </si>
  <si>
    <t>1368-8790</t>
  </si>
  <si>
    <t>1466-1888</t>
  </si>
  <si>
    <t>SI</t>
  </si>
  <si>
    <t>10.1080/13688790.2024.2320089</t>
  </si>
  <si>
    <t>Cultural Studies; History</t>
  </si>
  <si>
    <t>Biswas, Priyanka; Das Chatterjee, Nilanjana</t>
  </si>
  <si>
    <t>Tears Behind the Closed Doors: A Logistic Analysis of Domestic Violence Against Women in West Bengal, India</t>
  </si>
  <si>
    <t>CRIME &amp; DELINQUENCY</t>
  </si>
  <si>
    <t>[Biswas, Priyanka; Das Chatterjee, Nilanjana] Vidyasagar Univ, Midnapore, West Bengal, India; [Biswas, Priyanka] Vidyasagar Univ, Dept Geog, Midnapore 721102, West Bengal, India</t>
  </si>
  <si>
    <t>Biswas, P (corresponding author), Vidyasagar Univ, Dept Geog, Midnapore 721102, West Bengal, India.</t>
  </si>
  <si>
    <t>0011-1287</t>
  </si>
  <si>
    <t>1552-387X</t>
  </si>
  <si>
    <t>10.1177/00111287231202784</t>
  </si>
  <si>
    <t>Criminology &amp; Penology</t>
  </si>
  <si>
    <t>A multi-objective transportation problem under quantity dependent credit period and cost structure policies in triangular intuitionistic fuzzy environment</t>
  </si>
  <si>
    <t>ENGINEERING APPLICATIONS OF ARTIFICIAL INTELLIGENCE</t>
  </si>
  <si>
    <t>[Bera, Raj Kumar; Mondal, Shyamal Kumar] Vidyasagar Univ, Dept Appl Math Oceanol &amp; Comp Programming, Midnapore 721102, W Bengal, India</t>
  </si>
  <si>
    <t>Mondal, SK (corresponding author), Vidyasagar Univ, Dept Appl Math Oceanol &amp; Comp Programming, Midnapore 721102, W Bengal, India.</t>
  </si>
  <si>
    <t>0952-1976</t>
  </si>
  <si>
    <t>1873-6769</t>
  </si>
  <si>
    <t>ENG APPL ARTIF INTEL</t>
  </si>
  <si>
    <t>Eng. Appl. Artif. Intell.</t>
  </si>
  <si>
    <t>10.1016/j.engappai.2023.106396</t>
  </si>
  <si>
    <t>Automation &amp; Control Systems; Computer Science, Artificial Intelligence; Engineering, Multidisciplinary; Engineering, Electrical &amp; Electronic</t>
  </si>
  <si>
    <t>Automation &amp; Control Systems; Computer Science; Engineering</t>
  </si>
  <si>
    <t>Bera, Dipankar; Das Chatterjee, Nilanjana; Bera, Sudip; Ghosh, Subrata; Dinda, Santanu</t>
  </si>
  <si>
    <t>Comparative performance of Sentinel-2 MSI and Landsat-8 OLI data in canopy cover prediction using Random Forest model: Comparing model performance and tuning parameters</t>
  </si>
  <si>
    <t>[Bera, Dipankar; Das Chatterjee, Nilanjana; Bera, Sudip; Ghosh, Subrata; Dinda, Santanu] Vidyasagar Univ, Dept Geog, Midnapore 721102, W Bengal, India</t>
  </si>
  <si>
    <t>Bera, D (corresponding author), Vidyasagar Univ, Dept Geog, Midnapore 721102, W Bengal, India.</t>
  </si>
  <si>
    <t>10.1016/j.asr.2023.01.027</t>
  </si>
  <si>
    <t>Islam, SR; Pal, M</t>
  </si>
  <si>
    <t>Islam, Sk R.; Pal, M.</t>
  </si>
  <si>
    <t>F-INDEX FOR FUZZY GRAPH WITH APPLICATION</t>
  </si>
  <si>
    <t>[Islam, Sk R.; Pal, M.] Vidyasagar Univ, Dept Appl Math Oceanol &amp; Comp Programming, Midnapore 721102, India</t>
  </si>
  <si>
    <t>Islam, SR (corresponding author), Vidyasagar Univ, Dept Appl Math Oceanol &amp; Comp Programming, Midnapore 721102, India.</t>
  </si>
  <si>
    <t>Subrata De; Barman, Swasti</t>
  </si>
  <si>
    <t>FUNCTIONAL MORPHS OF FIBROBLAST CELL WITHIN OLFACTORY NEUROEPITHELIUM OF FISH</t>
  </si>
  <si>
    <t>CHEMICAL SENSES</t>
  </si>
  <si>
    <t>[Subrata De; Barman, Swasti] Vidyasagar Univ, Dept Zool, Midnapore West 721102, West Bengal, India</t>
  </si>
  <si>
    <t>OXFORD UNIV PRESS</t>
  </si>
  <si>
    <t>GREAT CLARENDON ST, OXFORD OX2 6DP, ENGLAND</t>
  </si>
  <si>
    <t>0379-864X</t>
  </si>
  <si>
    <t>1464-3553</t>
  </si>
  <si>
    <t>JAN 1</t>
  </si>
  <si>
    <t>Behavioral Sciences; Food Science &amp; Technology; Neurosciences; Physiology</t>
  </si>
  <si>
    <t>Science Citation Index Expanded (SCI-EXPANDED); Conference Proceedings Citation Index - Science (CPCI-S)</t>
  </si>
  <si>
    <t>Behavioral Sciences; Food Science &amp; Technology; Neurosciences &amp; Neurology; Physiology</t>
  </si>
  <si>
    <t>Mukherjee, Partha</t>
  </si>
  <si>
    <t>Paribarta Anusandhan: Rashtra, Nagarikatta, Bastuchyuti O Itihascharcha</t>
  </si>
  <si>
    <t>CONTEMPORARY VOICE OF DALIT</t>
  </si>
  <si>
    <t>Book Review; Early Access</t>
  </si>
  <si>
    <t>[Mukherjee, Partha] Vidyasagar Univ, Dept Hist, West Medinipur, W Bengal, India</t>
  </si>
  <si>
    <t>Mukherjee, P (corresponding author), Vidyasagar Univ, Dept Hist, West Medinipur, W Bengal, India.</t>
  </si>
  <si>
    <t>2455-328X</t>
  </si>
  <si>
    <t>2456-0502</t>
  </si>
  <si>
    <t>CONTEMP VOICE DALIT</t>
  </si>
  <si>
    <t>Contemp. Voice Dalit</t>
  </si>
  <si>
    <t>10.1177/2455328X221106026</t>
  </si>
  <si>
    <t>Dutta, Kunal</t>
  </si>
  <si>
    <t>Allosteric Site of ACE-2 as a Drug Target for COVID-19</t>
  </si>
  <si>
    <t>ACS PHARMACOLOGY &amp; TRANSLATIONAL SCIENCE</t>
  </si>
  <si>
    <t>[Dutta, Kunal] Vidyasagar Univ, Dept Human Physiol, Midnapore 721102, W Bengal, India</t>
  </si>
  <si>
    <t>Dutta, K (corresponding author), Vidyasagar Univ, Dept Human Physiol, Midnapore 721102, W Bengal, India.</t>
  </si>
  <si>
    <t>2575-9108</t>
  </si>
  <si>
    <t>10.1021/acsptsci.2c00003</t>
  </si>
  <si>
    <t>Chemistry, Medicinal; Pharmacology &amp; Pharmacy</t>
  </si>
  <si>
    <t>Pharmacology &amp; Pharmacy</t>
  </si>
  <si>
    <t>Green Published</t>
  </si>
  <si>
    <t>Bisui, S; Shit, PK</t>
  </si>
  <si>
    <t>Bisui, Soumen; Shit, Pravat Kumar</t>
  </si>
  <si>
    <t>Assessing the role of forest resources in improving rural livelihoods in West Bengal of India</t>
  </si>
  <si>
    <t>REGIONAL SUSTAINABILITY</t>
  </si>
  <si>
    <t>Non-timber forest; products (NTFPs); Forest resources; Standard of living; index; Livelihood; dependency index; Income sources; India</t>
  </si>
  <si>
    <t>PRODUCTS; HOUSEHOLDS; COMMUNITIES; RESILIENCE; STRATEGIES; FRAMEWORK; DISTRICT; INCOMES</t>
  </si>
  <si>
    <t>Forest resources play a vital role in supporting the livelihoods of rural communities residing in forest-rich areas. In India, a forest-rich country, a significant proportion of nontimber forest products (NTFPs) is consumed locally, supporting numerous rural communities relying on forests for essential resources, such as firewood, timber, and NTFPs. This study focuses on two forest-dominant districts in West Bengal of India, namely, Jhargram District and Paschim Medinipur District. Furthermore, this study aims to enhance the understanding of forest-dependent communities by comparing the standard of living among different village classes. Thus, we categorized villages into three classes based on the distance from home to forests, including inner villages, fringe villages, and outer villages. Through focus group discussions and household surveys, we explored the sources of local economy, income sources of household, and reasons for economic diversification in different village classes. The study findings confirm that substantial variations existed in the income sources and the standard of living in these villages. Forest income varied dramatically among the three village classes, with inner villages having greater forest income than fringe villages and outer villages. Meanwhile, households in outer villages depended on forests and engaged in diverse economic activities for their livelihoods. Compared with inner and fringe villages, households in outer villages derived a significant portion of their income from livestock. This discrepancy can be attributed to challenges, such as inadequate transportation, communication, and underdeveloped market chains in inner villages. Moreover, these findings emphasize the need to develop sustainable forest management practices, create alternative income-generation opportunities, and improve infrastructure and market access in inner villages, as well as promote economic diversification in outer villages. Through targeted policy measures, these forest-rich regions can achieve improved livelihoods, enhanced standard of living, and increased resilience for their communities.</t>
  </si>
  <si>
    <t>[Bisui, Soumen; Shit, Pravat Kumar] Vidyasagar Univ, Raja Narendra Lal Khan Womens Coll Autonomous, Res Ctr Nat &amp; Appl Sci, Midnapore 721102, India; [Shit, Pravat Kumar] Vidyasagar Univ, Raja Narendra Lal Khan Womens Coll Autonomous, Postgrad Dept Geog, Midnapore 721102, India</t>
  </si>
  <si>
    <t>Shit, PK (corresponding author), Vidyasagar Univ, Raja Narendra Lal Khan Womens Coll Autonomous, Res Ctr Nat &amp; Appl Sci, Midnapore 721102, India.;Shit, PK (corresponding author), Vidyasagar Univ, Raja Narendra Lal Khan Womens Coll Autonomous, Postgrad Dept Geog, Midnapore 721102, India.</t>
  </si>
  <si>
    <t>KEAI PUBLISHING LTD</t>
  </si>
  <si>
    <t>BEIJING</t>
  </si>
  <si>
    <t>16 DONGHUANGCHENGGEN NORTH ST, Building 5, Room 411, BEIJING, DONGCHENG DISTRICT 100009, PEOPLES R CHINA</t>
  </si>
  <si>
    <t>2097-0129</t>
  </si>
  <si>
    <t>2666-660X</t>
  </si>
  <si>
    <t>REG SUSTAIN</t>
  </si>
  <si>
    <t>Reg. Sustain.</t>
  </si>
  <si>
    <t>10.1016/j.regsus.2024.100141</t>
  </si>
  <si>
    <t>Environmental Sciences; Environmental Studies</t>
  </si>
  <si>
    <t>Mandal, S; Banu, A; Mondal, SK</t>
  </si>
  <si>
    <t>Mandal, Sangita; Banu, Ateka; Mondal, Shyamal Kumar</t>
  </si>
  <si>
    <t>An integrated inventory model for non-instantaneous deteriorating item under credit policy and partial backlogging with advertising and price dependent stochastic demand</t>
  </si>
  <si>
    <t>Integrated policy; Credit period; Advertising; Stochastic demand; Partial backlogging</t>
  </si>
  <si>
    <t>PARTIAL TRADE CREDIT; SUPPLY CHAIN MODEL; ADVANCE PAYMENT; EOQ MODEL; PERIOD; DISCOUNT; COORDINATION; CONSTRAINT; DELAY; TIME</t>
  </si>
  <si>
    <t>In today's business world, advertising is one of the most important policies to attract more customers. This policy increases the retailer's sales and makes the retailer's business position strong. In this paper, we have considered an integrated inventory model for non-instantaneous deteriorating items with a single supplier and single retailer, where a supplier sells his/her products in the market through a retailer who faces a stochastic demand depending on both retail price and advertisement. Here, to increase the retailer's demand, the supplier wholesales his/her products to the retailer with a credit period. Since the long credit period increases the demand rate but at the same time, it increases the supplier's opportunity loss. In this paper, we have discussed about the credit policy and find out, how this policy effective on profit of the supplier, the retailer as well as the whole system. After purchasing, the retailer sells his/her products to his customers with a markup. This markup is based on the supplier's wholesale price and also on advertising costs. Finally, an integrated profit function has been developed and we have illustrated numerical examples to justify the feasibility of the proposed model. The result indicates that not only the credit period but also an appropriate number of advertisements is more important for maintaining the profit of the supplier, the retailer as well as the integrated profit of the system. We have analyzed the effect of markup on the profit function. We have also analyzed how the profit structure of the suppliers and retailers changes along with the changes in the length of the credit period. An effective algorithm has been presented in the solution procedure to find the optimal solutions of the proposed model. Also, the numerical example with uniform distribution has been carried out. Finally, sensitivity analysis of major parameters has been illustrated to provide managerial insights</t>
  </si>
  <si>
    <t>[Mandal, Sangita; Banu, Ateka; Mondal, Shyamal Kumar] Vidyasagar Univ, Dept Appl Math, Oceanol &amp; Comp Programming, Midnapore 721102, WB, India</t>
  </si>
  <si>
    <t>Mondal, SK (corresponding author), Vidyasagar Univ, Dept Appl Math, Oceanol &amp; Comp Programming, Midnapore 721102, WB, India.</t>
  </si>
  <si>
    <t>10.1051/ro/2023087</t>
  </si>
  <si>
    <t>Between the Boundaries of Asceticism and Activism: Understanding the Authority of the Sadhvis within the Hindu Right in India</t>
  </si>
  <si>
    <t>RELIGIONS</t>
  </si>
  <si>
    <t>[Dasgupta, Koushiki] Vidyasagar Univ, Dept Hist, Midnapore 721102, India</t>
  </si>
  <si>
    <t>Dasgupta, K (corresponding author), Vidyasagar Univ, Dept Hist, Midnapore 721102, India.</t>
  </si>
  <si>
    <t>2077-1444</t>
  </si>
  <si>
    <t>10.3390/rel14091100</t>
  </si>
  <si>
    <t>Religion</t>
  </si>
  <si>
    <t>Guha, A</t>
  </si>
  <si>
    <t>Guha, Abhijit</t>
  </si>
  <si>
    <t>Glimpses from the Anthropological Odyssey of B. R. Ambedkar Through the Caste System in India</t>
  </si>
  <si>
    <t>[Guha, Abhijit] Vidyasagar Univ, Dept Anthropol, Midnapore 721102, W Bengal, India</t>
  </si>
  <si>
    <t>Guha, A (corresponding author), Vidyasagar Univ, Dept Anthropol, Midnapore 721102, W Bengal, India.</t>
  </si>
  <si>
    <t>10.1177/2455328X231182806</t>
  </si>
  <si>
    <t>Roy, T; Maiti, DK</t>
  </si>
  <si>
    <t>Roy, Tapas; Maiti, Dilip K.</t>
  </si>
  <si>
    <t>An optimal and modified homotopy perturbation method for strongly nonlinear differential equations</t>
  </si>
  <si>
    <t>NONLINEAR DYNAMICS</t>
  </si>
  <si>
    <t>[Roy, Tapas; Maiti, Dilip K.] Vidyasagar Univ, Dept Appl Math Oceanol &amp; Comp Programming, Midnapore 721102, WB, India</t>
  </si>
  <si>
    <t>0924-090X</t>
  </si>
  <si>
    <t>1573-269X</t>
  </si>
  <si>
    <t>10.1007/s11071-023-08662-w</t>
  </si>
  <si>
    <t>Engineering, Mechanical; Mechanics</t>
  </si>
  <si>
    <t>Engineering; Mechanics</t>
  </si>
  <si>
    <t>Debnath, Kaushik; Roy, Sankar Kumar</t>
  </si>
  <si>
    <t>Power partitioned neutral aggregation operators for T-spherical fuzzy sets: An application to H2 refuelling site selection</t>
  </si>
  <si>
    <t>[Debnath, Kaushik; Roy, Sankar Kumar] Vidyasagar Univ, Dept Appl Math Oceanol &amp; Comp Programming, Midnapore 721102, West Bengal, India</t>
  </si>
  <si>
    <t>Roy, SK (corresponding author), Vidyasagar Univ, Dept Appl Math Oceanol &amp; Comp Programming, Midnapore 721102, West Bengal, India.</t>
  </si>
  <si>
    <t>APR 15</t>
  </si>
  <si>
    <t>10.1016/j.eswa.2022.119470</t>
  </si>
  <si>
    <t>Paik, Biplab; Mondal, Shyamal Kumar</t>
  </si>
  <si>
    <t>Introduction to Soft-Cryptosystem and its Application</t>
  </si>
  <si>
    <t>WIRELESS PERSONAL COMMUNICATIONS</t>
  </si>
  <si>
    <t>[Paik, Biplab] Vidyasagar Univ, Midnapore 721102, W Bengal, India; [Mondal, Shyamal Kumar] Vidyasagar Univ, Dept Appl Math Oceanol &amp; Comp Programming, Midnapore 721102, W Bengal, India</t>
  </si>
  <si>
    <t>Paik, B (corresponding author), Vidyasagar Univ, Midnapore 721102, W Bengal, India.</t>
  </si>
  <si>
    <t>0929-6212</t>
  </si>
  <si>
    <t>1572-834X</t>
  </si>
  <si>
    <t>WIRELESS PERS COMMUN</t>
  </si>
  <si>
    <t>Wirel. Pers. Commun.</t>
  </si>
  <si>
    <t>10.1007/s11277-022-09635-9</t>
  </si>
  <si>
    <t>Telecommunications</t>
  </si>
  <si>
    <t>HIV/AIDS control owing to local and global awareness, diagnosis, treatment tactics and control theory: fractional order modeling</t>
  </si>
  <si>
    <t>Caputo fractional derivative; Basic reproduction number; HIV/AIDS prevalence; Memory kernel; Stability analysis; Transition phase; Control strategy</t>
  </si>
  <si>
    <t>EPIDEMIC MODEL; STABILITY; PROGRAMS</t>
  </si>
  <si>
    <t>Since there is no available vaccination for a contagious disease like HIV/AIDS, utilizing fractional order modeling in awareness, diagnosis, treatment, and control theory can be an effective method to prevent the spread of the disease. Consequently, we developed a novel mathematical model within a Caputo fractional framework to analyze the patterns of HIV/AIDS disease transmission. To make the unaware susceptibles aware, media-based global awareness and word-of-mouth communication based local awareness, together with psychological anxiety about infection among these conscious susceptibles, are incorporated here. Diagnosis process is taken into account to diagnosis the asymptomatic individuals to identify the AIDS and HIV symptomatic population. The local awareness and diagnosis rates are assumed dynamic, which are proportional to the aware, infectious and population under treatment. Taking advantage of the generalized mean value theorem, we first ensure the positivity, then applying the Mittag-Leffler function's property, we show the biologically feasible region, and finally the solution's existence and uniqueness are given by utilizing the Banach fixed point theorem. We present only local stability around the disease-free equilibrium point. Next local and global stabilities around the disease persistent equilibrium point-based are exhibited using the basic reproduction number (R0\documentclass[12pt]{minimal} \usepackage{amsmath} \usepackage{wasysym} \usepackage{amsfonts} \usepackage{amssymb} \usepackage{amsbsy} \usepackage{mathrsfs} \usepackage{upgreek} \setlength{\oddsidemargin}{-69pt} \begin{document}$$R_0$$\end{document}). The direction of transcritical bifurcation is illustrated analytically using the unit epidemic edge. In order to identify the most important parameter(s) for our defined epidemic model, which are embedded in R0\documentclass[12pt]{minimal} \usepackage{amsmath} \usepackage{wasysym} \usepackage{amsfonts} \usepackage{amssymb} \usepackage{amsbsy} \usepackage{mathrsfs} \usepackage{upgreek} \setlength{\oddsidemargin}{-69pt} \begin{document}$$R_0$$\end{document}, a quantitative assessment is conducted on R0\documentclass[12pt]{minimal} \usepackage{amsmath} \usepackage{wasysym} \usepackage{amsfonts} \usepackage{amssymb} \usepackage{amsbsy} \usepackage{mathrsfs} \usepackage{upgreek} \setlength{\oddsidemargin}{-69pt} \begin{document}$$R_0$$\end{document}. To achieve the population dynamics's trends, a numerical experiment is conducted here. During and after transition phases, we impose a strive for understanding the behavior of the order and kernel of the fractional derivative on the system's dynamics and in the prevention of disease transmission. Based on the fractional optimal control theory, it is demonstrated that HIV/AIDS can be mathematically eradicated with the intervention strategies, namely, enhanced awareness, diagnosis and treatment. Fractional derivatives serve a crucial role in preventing the propagation of the disease and have a significant impact on the system's dynamics during the transition period.</t>
  </si>
  <si>
    <t>[Kar, Silajit; Maiti, Dilip K.] Vidyasagar Univ, Dept Appl Math, Midnapore 721102, West Bengal, India; [Maiti, Atasi Patra] Vidyasagar Univ, Ctr Distance &amp; Online Educ, Midnapore 721102, West Bengal, India</t>
  </si>
  <si>
    <t>Maiti, DK (corresponding author), Vidyasagar Univ, Dept Appl Math, Midnapore 721102, West Bengal, India.</t>
  </si>
  <si>
    <t>10.1007/s11071-024-10193-x</t>
  </si>
  <si>
    <t>Modelling of soil erosion susceptibility incorporating sediment connectivity and export at landscape scale using integrated machine learning, InVEST-SDR and Fragstats</t>
  </si>
  <si>
    <t>JOURNAL OF ENVIRONMENTAL MANAGEMENT</t>
  </si>
  <si>
    <t>Soil erosion susceptible (SES); Soil and water conservation (SWC); Sediment connectivity; Sediment export; Delivery outlet; Landscape matrices</t>
  </si>
  <si>
    <t>LAND-USE; CORRELATION-COEFFICIENTS; CATCHMENT; WATER; REGRESSION; YIELD</t>
  </si>
  <si>
    <t>Evaluating the linkage between soil erosion and sediment connectivity for export assessment in different landscape patterns at catchment scale is valuable for optimization of soil and water conservation (SWC) practices. Present research attempts to identify the soil erosion susceptible (SES) sites in Kangsabati River Basin (KRB) using machine learning algorithm (decision trees, decision trees cross validation, CV, Extreme Gradient Boosting, XGB CV and bagging CV) taken thirty five variables, for investigating the linkage between erosion rates and sediment connectivity to assess the sediment export at sub-basin level employing connectivity index (IC) and Integrated Valuation of Ecosystem Services and Tradeoffs (InVEST) sediment delivery ratio (SDR) model. Based on AUC of receiving operating curve in validation test, excellent capacity of extreme Gradient Boosting, XGB CV and bagging CV (0.95, 0.90) than decision tree and decision tree CV (0.78, 0.82), exhibits about 18.58 % of basin areas facing susceptible to very high erosion. Conversely, considering universal soil loss equation (RUSLE) parameters, InVEST-SDR model estimated about 64.24 % of soil loss rate occurred from high SES in where sediment export rate become very high (136.995 t/ha(-1)/y(-1)). The IC result show that high sediment connectivity (&lt;-4.4) measured in high SES of laterite and bare land in upper catchment, and double crop agricultural areas in lower catchment, while least connectivity (&gt;-7.1) observed in low SES of dense forest, vegetation cover and settlement built-up areas. Pearson correlation matrix revealed that four landscape indices category i.e. edge metrics (p &lt; 0.01), aggregation metrics (p &lt; 0.001), shape metrics (p &lt; 0.01-0.001) and diversity metrics (p &lt; 0.01) signified the influence of landscape patterns on IC and SES. Accordingly, RUSLE, SDR and landscape matrices reveals that maximum sediment export rate associated with high connective delivery outlet and high SES in laterite, double crop and bare land due to simple landscape and greater homogeneity, whilst minimum export rate related with low connectivity and low SES in dense forest, vegetation cover and settlement built up area causes of fragmented landscape and spatial heterogeneity. Finally, findings could immense useful for formulating the optimizing measures of SWC in the watershed.</t>
  </si>
  <si>
    <t>[Bhattacharya, Raj Kumar; Das Chatterjee, Nilanjana; Das, Kousik] Vidyasagar Univ, Dept Geog, Midnapore 721102, West Bengal, India</t>
  </si>
  <si>
    <t>Bhattacharya, RK (corresponding author), Vidyasagar Univ, Dept Geog, Midnapore 721102, West Bengal, India.</t>
  </si>
  <si>
    <t>ACADEMIC PRESS LTD- ELSEVIER SCIENCE LTD</t>
  </si>
  <si>
    <t>24-28 OVAL RD, LONDON NW1 7DX, ENGLAND</t>
  </si>
  <si>
    <t>0301-4797</t>
  </si>
  <si>
    <t>1095-8630</t>
  </si>
  <si>
    <t>J ENVIRON MANAGE</t>
  </si>
  <si>
    <t>J. Environ. Manage.</t>
  </si>
  <si>
    <t>10.1016/j.jenvman.2024.120164</t>
  </si>
  <si>
    <t>Sasmal, Joydeb; Sasmal, Ritwik</t>
  </si>
  <si>
    <t>Public Expenditure, Human Capital Formation and Economic Growth in Modified Lucas Framework: A Study in the Indian Context</t>
  </si>
  <si>
    <t>JOURNAL OF QUANTITATIVE ECONOMICS</t>
  </si>
  <si>
    <t>[Sasmal, Joydeb; Sasmal, Ritwik] Vidyasagar Univ, Dept Econ, Midnapore, West Bengal, India; [Sasmal, Joydeb] E-4,Aroma Pk,PO Boral, Kolkata 700154, India</t>
  </si>
  <si>
    <t>Sasmal, J (corresponding author), Vidyasagar Univ, Dept Econ, Midnapore, West Bengal, India.;Sasmal, J (corresponding author), E-4,Aroma Pk,PO Boral, Kolkata 700154, India.</t>
  </si>
  <si>
    <t>0971-1554</t>
  </si>
  <si>
    <t>2364-1045</t>
  </si>
  <si>
    <t>10.1007/s40953-023-00358-7</t>
  </si>
  <si>
    <t>PICTURE FUZZY SUBGROUP</t>
  </si>
  <si>
    <t>[Dogra, Shovan] Vidyasagar Univ, Dept Appl Math Oceanol &amp; Comp Programming, Midnapore, India</t>
  </si>
  <si>
    <t>Dogra, S (corresponding author), Vidyasagar Univ, Dept Appl Math Oceanol &amp; Comp Programming, Midnapore, India.</t>
  </si>
  <si>
    <t>10.46793/KgJMat2306.911D</t>
  </si>
  <si>
    <t>Islam, S. R.; Pal, M.</t>
  </si>
  <si>
    <t>Second Zagreb index for fuzzy graphs and its application in mathematical chemistry</t>
  </si>
  <si>
    <t>IRANIAN JOURNAL OF FUZZY SYSTEMS</t>
  </si>
  <si>
    <t>[Islam, S. R.; Pal, M.] Vidyasagar Univ, Dept Appl Math Oceanol &amp; Comp Programming, Midnapore 721102, India</t>
  </si>
  <si>
    <t>UNIV SISTAN &amp; BALUCHESTAN</t>
  </si>
  <si>
    <t>ZAHEDAN</t>
  </si>
  <si>
    <t>PO BOX 98135-987, ZAHEDAN, 00000, IRAN</t>
  </si>
  <si>
    <t>1735-0654</t>
  </si>
  <si>
    <t>2676-4334</t>
  </si>
  <si>
    <t>10.22111/IJFS.2023.7350</t>
  </si>
  <si>
    <t>Bera, Dipankar; Das Chatterjee, Nilanjana; Ghosh, Subrata; Dinda, Santanu; Bera, Sudip; Mandal, Mrinmay</t>
  </si>
  <si>
    <t>Assessment of forest cover loss and impacts on ecosystem services: Coupling of remote sensing data and people?s perception in the dry deciduous forest of West Bengal, India</t>
  </si>
  <si>
    <t>[Bera, Dipankar; Das Chatterjee, Nilanjana; Ghosh, Subrata; Dinda, Santanu; Bera, Sudip; Mandal, Mrinmay] Vidyasagar Univ, Dept Geog, Midnapore 721102, West Bengal, India</t>
  </si>
  <si>
    <t>JUL 1</t>
  </si>
  <si>
    <t>10.1016/j.jclepro.2022.131763</t>
  </si>
  <si>
    <t>Bera, Rakesh; Maiti, Ramkrishna</t>
  </si>
  <si>
    <t>Mangrove dependency and livelihood challenges - A study on Sundarbans, India</t>
  </si>
  <si>
    <t>REGIONAL STUDIES IN MARINE SCIENCE</t>
  </si>
  <si>
    <t>[Bera, Rakesh; Maiti, Ramkrishna] Vidyasagar Univ, Dept Geog, Midnapore 721102, West Bengal, India</t>
  </si>
  <si>
    <t>Bera, R (corresponding author), Vidyasagar Univ, Dept Geog, Midnapore 721102, West Bengal, India.</t>
  </si>
  <si>
    <t>2352-4855</t>
  </si>
  <si>
    <t>REG STUD MAR SCI</t>
  </si>
  <si>
    <t>Reg. Stud. Mar. Sci.</t>
  </si>
  <si>
    <t>10.1016/j.rsma.2021.102135</t>
  </si>
  <si>
    <t>Ecology; Marine &amp; Freshwater Biology</t>
  </si>
  <si>
    <t>Environmental Sciences &amp; Ecology; Marine &amp; Freshwater Biology</t>
  </si>
  <si>
    <t>Seal, Deboshree Barman; Bag, Sudin</t>
  </si>
  <si>
    <t>CONSTITUENTS AFFECTING BRAND LOYALTY OF SUSTAINABLE BEAUTY AND PERSONAL CARE PRODUCTS</t>
  </si>
  <si>
    <t>MARKETING AND MANAGEMENT OF INNOVATIONS</t>
  </si>
  <si>
    <t>[Seal, Deboshree Barman; Bag, Sudin] Vidyasagar Univ, Midnapore, India</t>
  </si>
  <si>
    <t>Bag, S (corresponding author), Vidyasagar Univ, Midnapore, India.</t>
  </si>
  <si>
    <t>SUMY STATE UNIV, DEPT MARKETING &amp; MANAGEMENT INNOVATIVE ACTIVITY</t>
  </si>
  <si>
    <t>SUMY</t>
  </si>
  <si>
    <t>RYMSKIY-KORSAKOV ST 2, SUMY, 40007, UKRAINE</t>
  </si>
  <si>
    <t>2218-4511</t>
  </si>
  <si>
    <t>2227-6718</t>
  </si>
  <si>
    <t>10.21272/mmi.2022.3-06</t>
  </si>
  <si>
    <t>Electoral Practice and the Election Commission of India: Politics,Institutions and Democracy</t>
  </si>
  <si>
    <t>INTERNATIONAL JOURNAL OF ASIAN STUDIES</t>
  </si>
  <si>
    <t>CAMBRIDGE UNIV PRESS</t>
  </si>
  <si>
    <t>EDINBURGH BLDG, SHAFTESBURY RD, CB2 8RU CAMBRIDGE, ENGLAND</t>
  </si>
  <si>
    <t>1479-5914</t>
  </si>
  <si>
    <t>1479-5922</t>
  </si>
  <si>
    <t>INT J ASIAN STUD</t>
  </si>
  <si>
    <t>Int. J. Asian Stud.</t>
  </si>
  <si>
    <t>10.1017/S147959142400007X</t>
  </si>
  <si>
    <t>Jana, S; Nandi, A; Sahu, TN</t>
  </si>
  <si>
    <t>Jana, Susovon; Nandi, Ankita; Sahu, Tarak Nath</t>
  </si>
  <si>
    <t>Can Cryptocurrencies Provide Better Diversification Benefits? Evidence from the Indian Stock Market</t>
  </si>
  <si>
    <t>JOURNAL OF INTERDISCIPLINARY ECONOMICS</t>
  </si>
  <si>
    <t>Cryptocurrency; diversification; hedge; Nifty 50; wavelet analysis</t>
  </si>
  <si>
    <t>DYNAMIC RELATIONSHIP; SAFE HAVEN; BITCOIN; CONNECTEDNESS; BLOCKCHAIN; PRICES; HEDGE</t>
  </si>
  <si>
    <t>Cryptocurrency has recently emerged as a financial asset among policymakers, investors and academics as a new alternative asset in the financial landscape. This research intends to empirically evaluate the safe haven, diversification and hedging potentials of digital currencies against the Indian equity market during different time frames. Four cryptocurrencies (Bitcoin, Ethereum, Binance Coin and Ripple) and Nifty 50 index data have been collected on a daily basis, from 26 July 2017 to 31 August 2023, for this purpose. Using wavelet-based methods, the study has discovered higher volatility in Nifty 50 and cryptocurrency prices during the crisis and stronger co-movement between pairs of equities and cryptocurrencies. Furthermore, the study finds that, under normal economic conditions, cryptocurrency can hedge the Indian stock market over short-term, medium-term and long-term investment horizons. However, investing in cryptocurrencies in the Indian stock portfolio for the short term does not give any safe haven or diversification advantages during times of economic crisis. Finally, we anticipate that the findings of our study will provide valuable insights into the potential usage of cryptocurrencies in the Indian stock market, both in stable and turbulent economic conditions.JEL Codes: G01, G41, N2, P34</t>
  </si>
  <si>
    <t>[Jana, Susovon; Nandi, Ankita; Sahu, Tarak Nath] Vidyasagar Univ, Dept Business Adm, Midnapore 721102, W Bengal, India</t>
  </si>
  <si>
    <t>Sahu, TN (corresponding author), Vidyasagar Univ, Dept Business Adm, Midnapore 721102, W Bengal, India.</t>
  </si>
  <si>
    <t>0260-1079</t>
  </si>
  <si>
    <t>2321-5305</t>
  </si>
  <si>
    <t>10.1177/02601079231214859</t>
  </si>
  <si>
    <t>Parai, A; Ganthya, D; Jana, PC</t>
  </si>
  <si>
    <t>Parai, Arumay; Ganthya, Debabrata; Jana, Paresh Chandra</t>
  </si>
  <si>
    <t>Unconventional magnon blockade in a superconducting qubit coupled magnomechanical system</t>
  </si>
  <si>
    <t>EUROPEAN PHYSICAL JOURNAL D</t>
  </si>
  <si>
    <t>[Parai, Arumay; Ganthya, Debabrata; Jana, Paresh Chandra] Vidyasagar Univ, Dept Phys, Midnapore 721102, India</t>
  </si>
  <si>
    <t>Parai, A (corresponding author), Vidyasagar Univ, Dept Phys, Midnapore 721102, India.</t>
  </si>
  <si>
    <t>1434-6060</t>
  </si>
  <si>
    <t>1434-6079</t>
  </si>
  <si>
    <t>10.1140/epjd/s10053-023-00619-3</t>
  </si>
  <si>
    <t>Optics; Physics, Atomic, Molecular &amp; Chemical</t>
  </si>
  <si>
    <t>Ganguly, Ram Kumar; Al-Helal, Md. Abdullah; Chakraborty, Susanta Kumar</t>
  </si>
  <si>
    <t>Management of invasive weed Chromolaena odorata (Siam weed) through vermicomposting: An eco-approach utilizing organic biomass valorization</t>
  </si>
  <si>
    <t>ENVIRONMENTAL TECHNOLOGY &amp; INNOVATION</t>
  </si>
  <si>
    <t>[Ganguly, Ram Kumar; Al-Helal, Md. Abdullah; Chakraborty, Susanta Kumar] Vidyasagar Univ, Dept Zool, Midnapore 721102, W Bengal, India</t>
  </si>
  <si>
    <t>2352-1864</t>
  </si>
  <si>
    <t>ENVIRON TECHNOL INNO</t>
  </si>
  <si>
    <t>Environ. Technol. Innov.</t>
  </si>
  <si>
    <t>10.1016/j.eti.2022.102952</t>
  </si>
  <si>
    <t>Biotechnology &amp; Applied Microbiology; Engineering, Environmental; Environmental Sciences</t>
  </si>
  <si>
    <t>Biotechnology &amp; Applied Microbiology; Engineering; Environmental Sciences &amp; Ecology</t>
  </si>
  <si>
    <t>Mishra, Anjan Kumar; Saha, Satyajit</t>
  </si>
  <si>
    <t>Structural, electrical, and optoelectrical characterization of PbS nanoparticles</t>
  </si>
  <si>
    <t>JOURNAL OF OPTOELECTRONICS AND ADVANCED MATERIALS</t>
  </si>
  <si>
    <t>[Mishra, Anjan Kumar; Saha, Satyajit] Vidyasagar Univ, Dept Phys, Midnapore 721102, West Bengal, India</t>
  </si>
  <si>
    <t>Mishra, AK (corresponding author), Vidyasagar Univ, Dept Phys, Midnapore 721102, West Bengal, India.</t>
  </si>
  <si>
    <t>NATL INST OPTOELECTRONICS</t>
  </si>
  <si>
    <t>BUCHAREST-MAGURELE</t>
  </si>
  <si>
    <t>1 ATOMISTILOR ST, PO BOX MG-5, BUCHAREST-MAGURELE 76900, ROMANIA</t>
  </si>
  <si>
    <t>1454-4164</t>
  </si>
  <si>
    <t>1841-7132</t>
  </si>
  <si>
    <t>5-6</t>
  </si>
  <si>
    <t>Materials Science, Multidisciplinary; Optics; Physics, Applied</t>
  </si>
  <si>
    <t>Materials Science; Optics; Physics</t>
  </si>
  <si>
    <t>Mondal, S; Halder, SK; Mondal, KC</t>
  </si>
  <si>
    <t>Mondal, Subhadeep; Halder, Suman Kumar; Mondal, Keshab Chandra</t>
  </si>
  <si>
    <t>Tailoring in fungi for next generation cellulase production with special reference to CRISPR/CAS system</t>
  </si>
  <si>
    <t>SYSTEMS MICROBIOLOGY AND BIOMANUFACTURING</t>
  </si>
  <si>
    <t>[Mondal, Subhadeep] Vidyasagar Univ, Ctr Life Sci, Midnapore 721102, West Bengal, India; [Halder, Suman Kumar; Mondal, Keshab Chandra] Vidyasagar Univ, Dept Microbiol, Midnapore 721102, West Bengal, India</t>
  </si>
  <si>
    <t>Halder, SK; Mondal, KC (corresponding author), Vidyasagar Univ, Dept Microbiol, Midnapore 721102, West Bengal, India.</t>
  </si>
  <si>
    <t>SPRINGERNATURE</t>
  </si>
  <si>
    <t>CAMPUS, 4 CRINAN ST, LONDON, N1 9XW, ENGLAND</t>
  </si>
  <si>
    <t>2662-7655</t>
  </si>
  <si>
    <t>2662-7663</t>
  </si>
  <si>
    <t>10.1007/s43393-021-00045-9</t>
  </si>
  <si>
    <t>Biotechnology &amp; Applied Microbiology</t>
  </si>
  <si>
    <t>Golden Jackal (Canis aureus) death by road accident in rural Bengal-insight the fact: a perception based eco-spatial clarification</t>
  </si>
  <si>
    <t>Golden Jackal; Habitat contraction; Forage ground; Road accident; Illegal dumping; Biodiversity</t>
  </si>
  <si>
    <t>CARNIVORA CANIDAE; ACTIVITY PATTERN; SANCTUARY; LINNAEUS; BEHAVIOR; GUJARAT</t>
  </si>
  <si>
    <t>Golden jackal is one of the higher trophic level wild animals in rural Bengal. Their ecological significance is undeniable in regional ecosystems and biodiversity. But gradually they become threatened due to habitat contraction, road killing, poisoning and human persecution. The documentation of jackal death by road accident within the 12-km district highway which is a single lane bituminous road in Patshpur-I Community Development Block under Purba Medinipur district, India, reveals an unpredictable ecological circumstance (n-154). Jackals are killed by road accidents from 2022 to 2023. On behalf of this blameless situation, the present study conducted intensive observations, case studies and spatial-ecological analysis. The study also included stakeholder's perceptions to reach and relates the background of this fact. After observation and analysis, it has been found that the jackal deaths have a spatio-temporal signature and are connected with food and forage ground loss from their habitat-influenced area. Another outcome is that roadside habitat becomes an alternative food source and forage ground for them due to trench construction both alongside of the district highway and illegal dumping of meat wastes and domestic wastes. The seasonal biological activities of the jackals, local weather phenomena and car driver negligence are responsible for the accidental death of jackals along the district highway. Considering all the observed factors, the present study shared some reliable measures to control, protect and conserve this animal for balancing regional ecosystem as well as biodiversity in rural Bengal.</t>
  </si>
  <si>
    <t>[Mandal, Mrinmay] Vidyasagar Univ, Dept Geog, Midnapore, West Bengal, India</t>
  </si>
  <si>
    <t>Mandal, M (corresponding author), Vidyasagar Univ, Dept Geog, Midnapore, West Bengal, India.</t>
  </si>
  <si>
    <t>10.1007/s10661-024-13183-z</t>
  </si>
  <si>
    <t>Jamal, NA; Saha, K; Sarkhel, S</t>
  </si>
  <si>
    <t>Jamal, Nuzhat Ara; Saha, Kanchan; Sarkhel, Sumana</t>
  </si>
  <si>
    <t>Preliminary studies of antivenom and antioxidant activities of Gymnema sylvestre R.Br. leaf extracts.</t>
  </si>
  <si>
    <t>Ayurvedic; Gurmar; Herbal; Periploca of the woods</t>
  </si>
  <si>
    <t>ASSAY</t>
  </si>
  <si>
    <t>Medicinal plants are rich in biologically active phytoconstituents and therapeutic compounds that have wide applications in pharmaceutical industry. The ameliorative actions of such phytochemicals could be attributed to the presence of dietary fibre, detoxifying mediators, neuropharmacological agents, antioxidants, anticancer mediators, etc. In the present study, we investigated the in vivo antivenom potential of Gymnema sylvestre R. Br leaf extract (GSE)in experimental animal model. The study also investigated the antioxidant potential (in vitro) of GSE (aqueous and methanolic) along with qualitative phytochemical constituent tests. Phytochemical tests were performed by qualitative method to detect the presence of different phytoconstituents within the leaf. Different quantitative tests (DPPH scavenging, H2O2 scavenging, Ferric reducing activity) were performed. The IC50 value was determined from the different concentration. To detect the venom neutralization effects, in vitro PLA2 and in vivo lethality, haemorrhage, edema neutralization studies were performed. Aqueous and methanolic extracts of the leaf (400 mg/kg and 100 mg/kg body wt.) provided protection against the lethal dose of venom and showed a successful anti-hemorrhagic and edema neutralization activity against Daboia russelli venom (DRV). In vitro PLA2 neutralization activity of the leaf showed up to 3-fold protection. Methanolic extract exhibited the significant results in both qualitative phytochemical analysis as well as in vitro antioxidant studies. The results specify that the leaves of Gymnema sylvestre R.Br. possess antioxidant as well as antivenom potential and could act as a free radical inhibitor</t>
  </si>
  <si>
    <t>[Jamal, Nuzhat Ara] Vidyasagar Univ, Ctr Life Sci, Midnapore 721102, W Bengal, India; [Saha, Kanchan; Sarkhel, Sumana] Vidyasagar Univ, Dept Human Physiol, Midnapore 721102, W Bengal, India</t>
  </si>
  <si>
    <t>Sarkhel, S (corresponding author), Vidyasagar Univ, Dept Human Physiol, Midnapore 721102, W Bengal, India.</t>
  </si>
  <si>
    <t>10.56042/ijeb.v62i07.12072</t>
  </si>
  <si>
    <t>Panja, AS</t>
  </si>
  <si>
    <t>Panja, Anindya Sundar</t>
  </si>
  <si>
    <t>The systematic codon usage bias has an important effect on genetic adaption in native species</t>
  </si>
  <si>
    <t>GENE</t>
  </si>
  <si>
    <t>Endangered; Extremophiles; Native species; Ecology; Evolution</t>
  </si>
  <si>
    <t>NATURAL-SELECTION; BASE COMPOSITION; GENOME; SEQUENCE; EXTINCTION; EXPRESSION; PATTERNS; PROTEIN; CONSERVATION; ASSOCIATIONS</t>
  </si>
  <si>
    <t>Random mutations increase genetic variety and natural selection enhances adaption over generations. Codon usage biases (CUB) provide clues about the genome adaptation mechanisms of native species and extremophile species. Significant numbers of gene (CDS) of nine classes of endangered, native species, including extremophiles and mesophiles were utilised to compute CUB. Codon usage patterns differ among the lineages of endangered and extremophiles with native species. Polymorphic usage of nucleotides with codon burial suggests parallelism of native species within relatively confined taxonomic groups. Utilizing the deviation pattern of CUB of endangered and native species, I present a calculation parameter to estimate the extinction risk of endangered species. Species diversity and extinction risk are both positively associated with the propensity of random mutation in CDS (Coding DNA sequence). Codon bias tenet profoundly selected and it governs to adaptive evolution of native species.</t>
  </si>
  <si>
    <t>[Panja, Anindya Sundar] Vidyasagar Univ, Oriental Inst Sci &amp; Technol, Dept Biotechnol, Mol Informat Lab, Midnapore 721102, W Bengal, India</t>
  </si>
  <si>
    <t>Panja, AS (corresponding author), Vidyasagar Univ, Oriental Inst Sci &amp; Technol, Dept Biotechnol, Mol Informat Lab, Midnapore 721102, W Bengal, India.</t>
  </si>
  <si>
    <t>0378-1119</t>
  </si>
  <si>
    <t>1879-0038</t>
  </si>
  <si>
    <t>10.1016/j.gene.2024.148627</t>
  </si>
  <si>
    <t>Genetics &amp; Heredity</t>
  </si>
  <si>
    <t>Simultaneous ground state cooling of two mechanical resonators weakly coupled with three optical cavities in the unresolved sideband regime</t>
  </si>
  <si>
    <t>OPTICS AND LASER TECHNOLOGY</t>
  </si>
  <si>
    <t>Quantum ground state cooling; Quantum optics; Quantum optomechanics; Quantum information; Quantum communication</t>
  </si>
  <si>
    <t>QUANTUM; BACKACTION; LIMIT</t>
  </si>
  <si>
    <t>In this study we propose ground state cooling scheme of an optomechanical system consisting of three optical cavities and two mechanical oscillators where the second cavity is linearly coupled to the other cavities and each mechanical resonator is optomechanically coupled to its respective optical cavity. We derive the optical conditions of cooling by calculating and plotting the optical force spectrum. Ground state cooling of the system is achievable in both the resonators simultaneously or in any one of them in unresolved sideband regime as the heating process can be effectively suppressed in optimal parameter values. It is also noted that the cooling process gets more efficient as more cavity modes are coupled due to addition of new interference paths. Finally the system has been numerically simulated and it is observed that the optimal conditions for cooling found in the simulation coincide with the ones derived analytically.</t>
  </si>
  <si>
    <t>0030-3992</t>
  </si>
  <si>
    <t>1879-2545</t>
  </si>
  <si>
    <t>10.1016/j.optlastec.2024.111169</t>
  </si>
  <si>
    <t>Mishra, B; Santra, HK; Banerjee, D</t>
  </si>
  <si>
    <t>Mishra, Bibartan; Santra, Hiran Kanti; Banerjee, Debdulal</t>
  </si>
  <si>
    <t>Exploitation of Selected Fungal Endophytes of Andrographis paniculata (Burm. f.) Wall. ex Nees for the Production and Optimisation of Tannase and Screening for their Associated Hydrolysing Enzymes; Amylase, Protease, Lipase, and Laccase</t>
  </si>
  <si>
    <t>Hydrolysing Enzyme; Fungal Endophytes; Optimization; Tannase</t>
  </si>
  <si>
    <t>Endophytes represent a diverse domain of microorganisms with immense biotechnological potentialities. Metabolites from endophytes, especially fungi, are useful in industrial as well as pharmaceutical aspects. Here, endophytic fungal isolates of Andrographis paniculata collected from the Tapobon, Junglemahal region of West Bengal, India, have been studied for their hydrolyzing enzyme production abilities. Out of eighty-one isolates, twenty-one were positive for amylase, protease, lipase, laccase, and tannase action. Microscopic features of positive isolates revealed that the enzyme producers were Aspergillus sp., Fusarium sp., Alternaria sp., Trichoderma sp., Exerohilum sp., Nigrospora sp., Curvularia sp., Cladosporium sp., Cochliobolus sp., Tricothecium sp., Penicillium sp., Verticillium sp., and Cephalosporium sp. The amylolytic activity was remarkable in the case of endophytic Aspergillus sp. and Fusarium sp. Also, Aspergillus sp. and Alternaria sp. had proteolytic activity. Aspergillus sp., Mycelia sterilia-2, and Trichoderma sp. were potent lipase producers. Along with Exerohilum sp. endophyticAspergillus sp. had positive laccase activity. The tannic acid degrading activity was highest for Aspergillus sp. APL11 followed by Helicosporium sp. and Fusarium sp. Tannase producing ability of Aspergillus sp. was optimized and an incubation time- 96h, incubation temperature- 29 degrees C, initial medium pH- 6.5, carbon source- glucose, and nitrogen source- NaNO3 exhibited a two-fold scale-up of (2.83 +/- 0.05 u mL-1) in tannase action. These enzymes offer eco-friendly and efficient solutions across a wide range of industrial processes including food production, textile processing, and pharmaceutical synthesis. Fungal endophytes of medicinal plants act as an alternative source for hydrolysing enzymes.</t>
  </si>
  <si>
    <t>[Mishra, Bibartan; Banerjee, Debdulal] Vidyasagar Univ, Dept Bot &amp; Forestry, Microbiol &amp; Microbial Biotechnol Lab, Midnapore, W Bengal, India; [Mishra, Bibartan; Santra, Hiran Kanti; Banerjee, Debdulal] Vidyasagar Univ, Ctr Life Sci, Midnapore, W Bengal, India</t>
  </si>
  <si>
    <t>Banerjee, D (corresponding author), Vidyasagar Univ, Dept Bot &amp; Forestry, Microbiol &amp; Microbial Biotechnol Lab, Midnapore, W Bengal, India.;Banerjee, D (corresponding author), Vidyasagar Univ, Ctr Life Sci, Midnapore, W Bengal, India.</t>
  </si>
  <si>
    <t>10.22207/JPAM.18.1.39</t>
  </si>
  <si>
    <t>Manna, Atanu; Biswas, Debasish</t>
  </si>
  <si>
    <t>Assessment of Drinking Water Quality Using Water Quality Index: A Review</t>
  </si>
  <si>
    <t>WATER CONSERVATION SCIENCE AND ENGINEERING</t>
  </si>
  <si>
    <t>[Manna, Atanu] Vidyasagar Univ, Ctr Environm Studies, Midnapore 721102, India; [Biswas, Debasish] Vidyasagar Univ, Dept Business Adm, Midnapore 721102, West Bengal, India</t>
  </si>
  <si>
    <t>Biswas, D (corresponding author), Vidyasagar Univ, Dept Business Adm, Midnapore 721102, West Bengal, India.</t>
  </si>
  <si>
    <t>2366-3340</t>
  </si>
  <si>
    <t>2364-5687</t>
  </si>
  <si>
    <t>10.1007/s41101-023-00185-0</t>
  </si>
  <si>
    <t>Green &amp; Sustainable Science &amp; Technology; Engineering, Environmental; Environmental Sciences; Water Resources</t>
  </si>
  <si>
    <t>Science &amp; Technology - Other Topics; Engineering; Environmental Sciences &amp; Ecology; Water Resources</t>
  </si>
  <si>
    <t>Drought alleviation efficacy of a galactose rich polysaccharide isolated from endophytic Mucor sp. HELF2: A case study on rice plant</t>
  </si>
  <si>
    <t>10.3389/fmicb.2022.1064055</t>
  </si>
  <si>
    <t>Sexuality and Gender Diversity Rights in Southeast Asia</t>
  </si>
  <si>
    <t>SARE-SOUTHEAST ASIAN REVIEW OF ENGLISH</t>
  </si>
  <si>
    <t>[Maity, Abhijit] Vidyasagar Univ, Midnapore, India</t>
  </si>
  <si>
    <t>Maity, A (corresponding author), Vidyasagar Univ, Midnapore, India.</t>
  </si>
  <si>
    <t>UNIV MALAYA, FAC ARTS &amp; SOCIAL SCIENCES, DEPT ENGLISH</t>
  </si>
  <si>
    <t>KUALA LUMPUR</t>
  </si>
  <si>
    <t>LEMBAH PANTAI, KUALA LUMPUR, 50603, MALAYSIA</t>
  </si>
  <si>
    <t>0127-046X</t>
  </si>
  <si>
    <t>Barman, A; Ghosh, A; Kar, TK; Chattopdhyay, S</t>
  </si>
  <si>
    <t>Barman, Ananya; Ghosh, Angshita; Kar, Tarun Kumar; Chattopdhyay, Sandip</t>
  </si>
  <si>
    <t>Methanolic extract of wheatgrass (Triticum aestivum L.) prevents BPA-induced disruptions in the ovarian steroidogenic pathway and alleviates uterine inflammation in Wistar rats</t>
  </si>
  <si>
    <t>3 BIOTECH</t>
  </si>
  <si>
    <t>Triticum aestivum; Bisphenol-A; Proinflammatory and apoptotic genes; Antioxidant enzymes; Steroidogenesis</t>
  </si>
  <si>
    <t>INDUCED OXIDATIVE STRESS; BISPHENOL-A; APIGENIN; ACID; INHIBITION; EXPRESSION; EXPOSURE; HEALTH; ASSAY</t>
  </si>
  <si>
    <t>The present study examined the anti-inflammatory and functional improvement of the uterus and ovary, respectively, in bisphenol-A (BPA)-fed adult Wistar rats following the ingestion of methanolic extract of wheatgrass (WG-ME). Four groups of rats were conditioned as vehicle-treated control, BPA-treated (100 mg/kg b.w.), BPA + WG-ME (100 mg BPA/kg b.w. + 200 mg WG-ME/kg b.w.), and WG-ME (200 mg/kg b.w.) groups. The LC-MS study confirmed the presence of numerous bioactive components in WG-ME. ELISA, PAGE, real-time PCR, and immunohistostaining were executed to test the efficacy of WG-ME against BPA. WG-ME was shown to induce significant weight gain of the uterus and ovaries as well as improve the estrous cycle and antioxidant status. WG-ME effectively suppressed the mRNA expression of TNF-alpha (tumor necrosis factor-alpha) and NF-kappa B (nuclear factor kappa-B). This extract also increased the expression of the antiapoptotic factor BCL2 (B-cell lymphoma 2) in the uterine tissue of rats administered BPA while impeding the abnormal expression of the tumor proteins p53, cylcin-D1, and BAX (BCL2-associated protein X). An enhanced steroidogenic event was supported by improved gonadotropins and reproductive hormone levels, feeble signaling of androgen receptors, and improved ovarian follicular growth with a distinct appearance of granulosa layer as well as better uterine histomorphology. The abundance of apigenin and catechin compounds in WG-ME may potentiate the above effects. The molecular interaction study predicted that apigenin inhibits TNF-alpha by interacting with its major site. Hence, WG-ME may exert its preventive efficacy in managing the functional imbalance of reproductive organs caused by BPA.</t>
  </si>
  <si>
    <t>[Barman, Ananya; Ghosh, Angshita; Kar, Tarun Kumar; Chattopdhyay, Sandip] Vidyasagar Univ, Dept Biomed Lab Sci &amp; Management &amp; Clin Nutr &amp; Die, Midnapore 721102, West Bengal, India</t>
  </si>
  <si>
    <t>Chattopdhyay, S (corresponding author), Vidyasagar Univ, Dept Biomed Lab Sci &amp; Management &amp; Clin Nutr &amp; Die, Midnapore 721102, West Bengal, India.</t>
  </si>
  <si>
    <t>2190-572X</t>
  </si>
  <si>
    <t>2190-5738</t>
  </si>
  <si>
    <t>3 Biotech</t>
  </si>
  <si>
    <t>10.1007/s13205-024-04117-0</t>
  </si>
  <si>
    <t>Selected Writings of Anil Gharai: Dalit Literature from Bangla</t>
  </si>
  <si>
    <t>REVIEWS IN ANTHROPOLOGY</t>
  </si>
  <si>
    <t>[Guha, Abhijit] Vidyasagar Univ, Anthropol, Midnapore, India</t>
  </si>
  <si>
    <t>Guha, A (corresponding author), Vidyasagar Univ, Anthropol, Midnapore, India.</t>
  </si>
  <si>
    <t>0093-8157</t>
  </si>
  <si>
    <t>1556-3014</t>
  </si>
  <si>
    <t>APR 2</t>
  </si>
  <si>
    <t>1-2</t>
  </si>
  <si>
    <t>10.1080/00938157.2024.2383496</t>
  </si>
  <si>
    <t>Anthropology</t>
  </si>
  <si>
    <t>Dey, C; Biswas, D</t>
  </si>
  <si>
    <t>Dey, Chanchal; Biswas, Debasish</t>
  </si>
  <si>
    <t>The Impact of HRM Practices on Job Satisfaction in the Unicorn Startups of India: Exploring the Mediating Effect of Employee Engagement</t>
  </si>
  <si>
    <t>PACIFIC BUSINESS REVIEW INTERNATIONAL</t>
  </si>
  <si>
    <t>HRM practices; Employee engagement; Job satisfaction; India; Unicorns; Startups</t>
  </si>
  <si>
    <t>RESOURCE MANAGEMENT-PRACTICES; WORK ENGAGEMENT; PERFORMANCE; BEHAVIOR; SUPPORT; GENDER; MODELS; LINK</t>
  </si>
  <si>
    <t>This study explores the impact of Human Resource Management (HRM) practices on job satisfaction among employees in Indian unicorn startups. It also examines the role of employee engagement as a mediator between HRM practices and job satisfaction. Additionally, the study investigates the moderating effects of age and gender on the relationship between HRM practices and job satisfaction. The data is collected through structured questionnaires from 390 employees working in unicorn startups in Bengaluru, Delhi -NCR, and Mumbai and is analyzed using the Structural Equation Modeling technique. The findings indicate that HRM practices positively influence job satisfaction, and employee engagement acts as a significant mediator between the two. However, the moderating effects of age and gender are insignificant. The study emphasizes the importance of effective HRM practices and employee engagement in promoting job satisfaction in Indian unicorn startups. It concludes that startups should prioritize implementing effective HRM practices to ensure employee satisfaction and engagement. This research contributes to the understanding of the relationship between HRM practices, employee engagement, and job satisfaction, particularly in the context of India's unicorn startups.</t>
  </si>
  <si>
    <t>[Dey, Chanchal; Biswas, Debasish] Vidyasagar Univ, Dept Business Adm, Midnapore, WB, India</t>
  </si>
  <si>
    <t>Dey, C (corresponding author), Vidyasagar Univ, Dept Business Adm, Midnapore, WB, India.</t>
  </si>
  <si>
    <t>PACIFIC INST MANAGEMENT</t>
  </si>
  <si>
    <t>RAJASTHAN</t>
  </si>
  <si>
    <t>PACIFIC HILLS, PRATAP NAGAR EXTENSION, AIR PORT RD, UDAIPUR, RAJASTHAN, 313 001, INDIA</t>
  </si>
  <si>
    <t>0974-438X</t>
  </si>
  <si>
    <t>Business</t>
  </si>
  <si>
    <t>Mardanya, Dharmadas; Roy, Sankar kumar</t>
  </si>
  <si>
    <t>PROFIT MAXIMIZATION MULTI-ITEM JUST-IN-TIME SOLID TRANSPORTATION PROBLEM WITH BUDGET CONSTRAINTS BASED ON CARBON EMISSION</t>
  </si>
  <si>
    <t>Solid transportation problem; just-in-Time; carbon emission; multi- item; B(lambda)-problem; optimal solution</t>
  </si>
  <si>
    <t>SUPPLY CHAIN; SINGLE; ALGORITHM; GREEN; COST</t>
  </si>
  <si>
    <t>. This study combines multi-item Just-in-Time solid transportation problems, budget constraints, and carbon emissions with potential profit maximization. Carbon emissions and other greenhouse gas emissions from various modes of transportation cause air pollution and harmful changes in climate. Realizing the impact of time in real-life transportation problems, here we introduce the Just-in-Time concept that helps to find the optimal network for transporting goods from origin to destination on time. The model of multiitem Just-in-Time solid transportation problem based on carbon emission is formulated, and then an algorithm is developed under some priority-based approaches to obtain an optimal solution. To test and justify the efficiency of the proposed study, we include an example having two-fold priority: (i) first priority is to deliver goods within the scheduled time, and (ii) second priority is to maximize profit. Finally, the article ends with the conclusions and future study.</t>
  </si>
  <si>
    <t>[Mardanya, Dharmadas; Roy, Sankar kumar] Vidyasagar Univ, Dept Appl Math Oceanol &amp; Comp Programming, Midnapore 721102, W Bengal, India</t>
  </si>
  <si>
    <t>10.3934/jimo.2024034</t>
  </si>
  <si>
    <t>Rawls' difference principle, self-help group, financial inclusion and social cohesion-lore or actuality? Experience of Central Assam</t>
  </si>
  <si>
    <t>HUMANITIES &amp; SOCIAL SCIENCES COMMUNICATIONS</t>
  </si>
  <si>
    <t>PROPENSITY SCORE; WOMEN; ENTREPRENEURSHIP; PARTICIPATION; GENDER; RELIGION; VILLAGE; INDIA</t>
  </si>
  <si>
    <t>Microfinance is an alternative banking service available to low-income individuals or organizations for whom no institutional financial services are available. A widely accepted approach to assisting disadvantaged and excluded communities, especially in remote rural areas, is microcredit. The purpose of microfinance is to promote financial equality and inclusion by acting as a substitute for traditional lending methods for the marginalized. In India, Self-Help Groups (SHGs)-Bank Linkage Program that led microfinance-gained maximum popularity. The National Bank for Agriculture and Rural Development architected this model. In this model, Grameen Banks are associated with SHGs. The model is familiar as the SHG-Bank Linkage Program (SBLP). A microfinance program's theoretical foundation is the Rawls' Difference Principle embedded in the Theory of Justice. The microcredit program, through the Self-Help Group-Bank Linkage Program (SBLP), gained maximum popularity in India. These SBLPs are registered with the Deendayal Antyodaya Yojana-National Rural Livelihoods Mission (DAY-NRLM) under the scheme Aajeevika. In harmony with Rawls' Difference Principle, the ultimate goal of Aajeevika is social cohesion for all. The current study aims to assess the effectiveness of the SBLP-driven microfinance program in promoting financial inclusion. Furthermore, unlike earlier studies, the present study also considers whether or not involvement in SBLP increases social cohesion, which is a crucial component of the Difference Principle. The empirical research is conducted using novel data collected through a field survey of 335 participants and 490 non-participants from Nagaon, Morigaon, and Hojai districts of Central Assam. The Propensity Score Matching method facilitates the impact analysis of SBLP. The participation decision in the SBLP is positively influenced by the level of education. Empirical results also indicate that Hindus and low-caste women are interested in participating in SBLP. Contrarily, distance from the bank and operational land holdings are negatively influencing the participation decision. The empirical findings support higher financial inclusion through SBLP involvement but do not support greater social cohesion. Based on the empirical results, we suggest that more SBLPs be enrolled with DAY-NRLP under Aajeevika. Simultaneously, social cohesion may be achieved only by guaranteeing participation for every deserving individual, irrespective of religion, caste, and class.</t>
  </si>
  <si>
    <t>2662-9992</t>
  </si>
  <si>
    <t>FEB 8</t>
  </si>
  <si>
    <t>10.1057/s41599-024-02708-z</t>
  </si>
  <si>
    <t>Humanities, Multidisciplinary; Social Sciences, Interdisciplinary</t>
  </si>
  <si>
    <t>Arts &amp; Humanities - Other Topics; Social Sciences - Other Topics</t>
  </si>
  <si>
    <t>Biswas, U; Das, S; Barik, M; Mallick, A</t>
  </si>
  <si>
    <t>Biswas, Urmy; Das, Surojit; Barik, Mili; Mallick, Abhi</t>
  </si>
  <si>
    <t>Situation Report on mcr-Carrying Colistin-Resistant Clones of Enterobacterales: A Global Update Through Human-Animal-Environment Interfaces</t>
  </si>
  <si>
    <t>CURRENT MICROBIOLOGY</t>
  </si>
  <si>
    <t>PLASMID-MEDIATED MCR-1; ESCHERICHIA-COLI; GENE MCR-1; ANTIMICROBIAL RESISTANCE; KLEBSIELLA-PNEUMONIAE; SALMONELLA-ENTERICA; 1ST DESCRIPTION; RETAIL MEAT; EMERGENCE; LIVESTOCK</t>
  </si>
  <si>
    <t>In the twenty-first century, antibiotic resistance (ABR) is one of the acute medical emergencies around the globe, overwhelming human-animal-environmental interfaces. Hit-or-mis use of antibiotics exacerbates the crisis of ABR, dispersing transferable resistance traits and challenging treatment regimens based on life-saving drugs such as colistin. Colistin is the highest priority critically important antimicrobials for human medicine, but its long use as a growth promoter in animal husbandry reduces clinical efficacy. Since 2015, the emergence and spread of mobile colistin resistance (mcr)-carrying colistin-resistant clones of Enterobacterales have been markedly sustained in both humans and animals, especially in developing countries. Hospital and community transmissions of mcr clones pose a high risk for infection prevention and outbreaks at the national and international levels. Several public health and limited one health studies have highlighted the genomic insights of mcr clones, clarifying the chromosomal sequence types (STs) and plasmid incompatibility (Inc) types. But this information is segregated into humans and animals, and rarely are environmental sectors complicating the understanding of possibly intercontinental and sectoral transmission of these clones. India is the hotspot for superbugs, including mcr-carrying colistin-resistant isolates that threaten cross-border transmission. The current review provided an up-to-date worldwide scenario of mcr-carrying STs and plasmid Inc types among the Gram-negative bacilli of Enterobacterales across human-animal-environmental interfaces and correlated with the available information from India.</t>
  </si>
  <si>
    <t>[Biswas, Urmy; Das, Surojit; Barik, Mili; Mallick, Abhi] Vidyasagar Univ, Biomed Lab Sci &amp; Management, Midnapore 721102, West Bengal, India</t>
  </si>
  <si>
    <t>Das, S (corresponding author), Vidyasagar Univ, Biomed Lab Sci &amp; Management, Midnapore 721102, West Bengal, India.</t>
  </si>
  <si>
    <t>0343-8651</t>
  </si>
  <si>
    <t>1432-0991</t>
  </si>
  <si>
    <t>10.1007/s00284-023-03521-8</t>
  </si>
  <si>
    <t>Paul, Ashis Kumar; Paul, Anurupa; Sardar, Joydeb</t>
  </si>
  <si>
    <t>Susceptibility of the Climate Resilient Landforms of the Coastal Tract of Odisha and West Bengal, India</t>
  </si>
  <si>
    <t>JOURNAL OF THE GEOLOGICAL SOCIETY OF INDIA</t>
  </si>
  <si>
    <t>[Paul, Ashis Kumar] Vidyasagar Univ, Dept Geog, Midnapore 721102, W Bengal, India; [Paul, Anurupa] Vidyasagar Univ, Dept Remote Sensing &amp; GIS, Midnapore 721102, W Bengal, India; [Sardar, Joydeb] Vidyasagar Univ, Ctr Environm Studies, Midnapore 721102, W Bengal, India</t>
  </si>
  <si>
    <t>Paul, A (corresponding author), Vidyasagar Univ, Dept Remote Sensing &amp; GIS, Midnapore 721102, W Bengal, India.</t>
  </si>
  <si>
    <t>GEOLOGICAL SOC INDIA</t>
  </si>
  <si>
    <t>NO 63, 12TH CORSS, BASAPPA LAY OUT, GAVIPURAM PO, PO BOX 1922, BANGALORE, 560-019, INDIA</t>
  </si>
  <si>
    <t>0016-7622</t>
  </si>
  <si>
    <t>0974-6889</t>
  </si>
  <si>
    <t>J GEOL SOC INDIA</t>
  </si>
  <si>
    <t>J. Geol. Soc. India</t>
  </si>
  <si>
    <t>10.1007/s12594-022-2390-1</t>
  </si>
  <si>
    <t>Geosciences, Multidisciplinary</t>
  </si>
  <si>
    <t>Geology</t>
  </si>
  <si>
    <t>Kumbhakar, Satyanarayan; Das, Pinaki</t>
  </si>
  <si>
    <t>Gender Bias in Child Deprivation: A Study in the Context of West Bengal, India</t>
  </si>
  <si>
    <t>GENDER INEQUALITY AND ITS IMPLICATIONS ON EDUCATION AND HEALTH: A Global Perspective</t>
  </si>
  <si>
    <t>[Kumbhakar, Satyanarayan; Das, Pinaki] Vidyasagar Univ, Midnapore, W Bengal, India</t>
  </si>
  <si>
    <t>Kumbhakar, S (corresponding author), Vidyasagar Univ, Midnapore, W Bengal, India.</t>
  </si>
  <si>
    <t>HOWARD HOUSE, WAGON LANE, BINGLEY, W YORKSHIRE BD16 1WA, ENGLAND</t>
  </si>
  <si>
    <t>10.1108/978-1-83753-180-620231010</t>
  </si>
  <si>
    <t>Education &amp; Educational Research; Social Issues; Women's Studies</t>
  </si>
  <si>
    <t>Nandigrami, Debarati; Das, Ramesh Chandra</t>
  </si>
  <si>
    <t>Association Between Crime Against Women and Income Inequality: A Study on Indian States</t>
  </si>
  <si>
    <t>[Nandigrami, Debarati] Vidyasagar Univ, Econ, Midnapore, India; [Das, Ramesh Chandra] Vidyasagar Univ, Dept Econ, Midnapore, India</t>
  </si>
  <si>
    <t>Nandigrami, D (corresponding author), Vidyasagar Univ, Econ, Midnapore, India.</t>
  </si>
  <si>
    <t>10.1108/978-1-83753-180-620231023</t>
  </si>
  <si>
    <t>Artificial Intelligence may Bring Paradigm Shift in Indian Education System: The Vision for 2030</t>
  </si>
  <si>
    <t>JOURNAL OF SCIENTOMETRIC RESEARCH</t>
  </si>
  <si>
    <t>PHCOG NET</t>
  </si>
  <si>
    <t>KARNATAKA</t>
  </si>
  <si>
    <t>17, 2ND FLR, BUDDHA VIHAR RD, NEAR SPORTS ZONE, COX TOWN, BENGALURU, KARNATAKA, 560005, INDIA</t>
  </si>
  <si>
    <t>2321-6654</t>
  </si>
  <si>
    <t>2320-0057</t>
  </si>
  <si>
    <t>J SCIENTOMETR RES</t>
  </si>
  <si>
    <t>J. Scientometr. Res.</t>
  </si>
  <si>
    <t>SEP-DEC</t>
  </si>
  <si>
    <t>10.5530/jscires.11.3.52</t>
  </si>
  <si>
    <t>hybrid</t>
  </si>
  <si>
    <t>Global University Rankings and the Politics of Knowledge</t>
  </si>
  <si>
    <t>10.5530/jscires.11.1.15</t>
  </si>
  <si>
    <t>Saha, K; Parua, P; Sarkhel, S; Jamal, NA</t>
  </si>
  <si>
    <t>Saha, Kanchan; Parua, Poulami; Sarkhel, Sumana; Jamal, Nuzhat Ara</t>
  </si>
  <si>
    <t>Invitro inhibition of Daboia russelii (Shaw &amp; Nodder) venom with alginic acid-based silver nanoparticles</t>
  </si>
  <si>
    <t>Alginic acid; Direct hemolytic assay; Proteolytic activity; Russell's viper; Silver nanoparticle; Snakebite envenoming</t>
  </si>
  <si>
    <t>Envenomation by Russell's viper [Daboia russelii (Shaw &amp; Nodder, 1797)] is a major medical emergency in tropical countries. The antivenom therapy is a conventional remedy for such medical emergency, but it has limitations and side effects. Nanomedicine and nanotechnology are the most prospective areas of research in the current scenario. In the present study, sodium dodecyl sulfate polyacrylamide gel electrophoresis (SDS-PAGE) analysis of crudeDaboia russelli venom (VRV) was performed. Alginic acid-based silver nanoparticles (AgNP-ALG) were synthesized and characterized using UV-Visible spectroscopy, Dynamic Light Scattering (DLS), Scanning electron microscope (SEM), and X-ray diffraction analysis (XRD). SNPs have average hydrodynamic size of 80.30 nm with 0.271 PDI. X-ray diffraction analysis of AgNP-ALG, which confirmed the cubic crystal shape of silver. SEM studies of AgNP-ALG showed particle sizes ranging from 10 to 50 nm. Spectroscopic analysis showed a decrease in the absorbance intensity of venom upon interaction with AgNP-ALG, indicating interaction with venom proteins. From the data available from fluorescence spectroscopy, it is evident that viper venom preincubated with AgNP-ALG causes quenching of fluorescence intensity. The results obtained by direct hemolytic assay,proteolytic activity and blood clotting test revealed venom action inhibition due to silver nanoparticles. Thus, in the present study we have emphasized that silver nanoparticles inhibit the action of Daboia russelli venom in vitro.</t>
  </si>
  <si>
    <t>[Saha, Kanchan; Sarkhel, Sumana] Vidyasagar Univ, Dept Human Physiol Community Hlth, Paschim Medinipur 721102, West Bengal, India; [Parua, Poulami; Jamal, Nuzhat Ara] Vidyasagar Univ, Ctr Life Sci, Medinipur 721102, West Bengal, India</t>
  </si>
  <si>
    <t>Sarkhel, S (corresponding author), Vidyasagar Univ, Dept Human Physiol Community Hlth, Paschim Medinipur 721102, West Bengal, India.</t>
  </si>
  <si>
    <t>10.56042/ijeb.v62i07.12069</t>
  </si>
  <si>
    <t>Das, P; Mitra, D; Pal, D; Ghosh, D</t>
  </si>
  <si>
    <t>Das, Puja; Mitra, Dipanwita; Pal, Dibya; Ghosh, Debidas</t>
  </si>
  <si>
    <t>Hypo-testicular Efficacy Assessment of H2O-methanol (60:40) Extract of Tinospora cordifolia (Willd.) Stem in Albino Rat: A Dose-dependent Study</t>
  </si>
  <si>
    <t>ADVANCES IN PHARMACOLOGY AND PHARMACY</t>
  </si>
  <si>
    <t>Tinospora cordifolia; Hypo-Testicular Activity; Spermiological Profile; Androgenic Key Enzymes; Oxidative Stress</t>
  </si>
  <si>
    <t>Background: Tinospora cordifolia (Willd.) Miers. traditionally familiar as giloy or gulancha has been used as a traditional folk medicine in Ayurveda from ancient times due to its antifertility effect. However, the mechanisms behind the hypo -testicular action of this herbal plant remain unclear. In this context, this investigation has been performed to unfold the probable mechanism of action by an effective dose of the H2O-methanol (60:40) extract (HME) of T. cordifolia stem. Objective: To determine the effective dose of T. cordifolia's HME for hypo -testicular efficacy testing in male albino rats. Materials and methods: Doses of T. cordifolia's HME at 5 (low), 10 (moderate), and 20 (high) mg/100 g of body weight (BW)/day for 28 days were given to the experimental rats in three separate dose -treated groups by oral gavage feeding. Rats in the vehicle -treated control group (VTCG) were fed only 0.5 ml sterile water/100 g of BW/day. Spermiological profile, seminal vesicular fructose level, androgenic markers, oxidative stress parameters, and testicular histological studies were analyzed. Results: Different doses of HME-treated groups (HMETGs) delineated a downward deviation significantly (p&lt;0.05) in reproductive organo-somatic indices, spermiological profile, serum testosterone level, androgenic key enzyme's activities, seminal vesicular fructose level, antioxidant enzyme activity, the diameter of the seminiferous tubules (STD), mitotic and meiotic generations of spermatogenic cell counts at VIIth stage of the spermatokinetics in respect to VTCG. Testicular thiobarbituric acid reactive substances (TBARS) and cholesterol levels were elevated significantly (p&lt;0.05) in the HMETGs in contrast to VTCG. After comparing the HMETGs to VTCG, the changes were noted in toxicity markers at no significant level (p&gt;0.05). Conclusion: The observation enlightens the HME of T. cordifolia stem at the dose of 10 mg (moderate) which executes maximum hypo -testicular activities for male contraception development as well as it also highlighting the therapeutic window of HME in this concern.</t>
  </si>
  <si>
    <t>[Das, Puja] Vidyasagar Univ, Ctr Life Sci, Midnapore, W Bengal, India; [Mitra, Dipanwita; Pal, Dibya; Ghosh, Debidas] Vidyasagar Univ, Dept Biomed Lab Sci &amp; Management, Mol Med Nutrigen &amp; Publ Hlth Res Lab, Midnapore, W Bengal, India</t>
  </si>
  <si>
    <t>Ghosh, D (corresponding author), Vidyasagar Univ, Dept Biomed Lab Sci &amp; Management, Mol Med Nutrigen &amp; Publ Hlth Res Lab, Midnapore, W Bengal, India.</t>
  </si>
  <si>
    <t>HORIZON RESEARCH PUBLISHING</t>
  </si>
  <si>
    <t>ALHAMBRA</t>
  </si>
  <si>
    <t>506 N GARFIELD AVE, STE 210, ALHAMBRA, CA 91801 USA</t>
  </si>
  <si>
    <t>2332-0036</t>
  </si>
  <si>
    <t>2332-0044</t>
  </si>
  <si>
    <t>10.13189/app.2024.120203</t>
  </si>
  <si>
    <t>Dolai, M; Mondal, SK</t>
  </si>
  <si>
    <t>Dolai, Madhusudan; Mondal, Shyamal Kumar</t>
  </si>
  <si>
    <t>An imperfect production model with shortage and screening constraint under time varying demand</t>
  </si>
  <si>
    <t>INTERNATIONAL JOURNAL OF SYSTEM ASSURANCE ENGINEERING AND MANAGEMENT</t>
  </si>
  <si>
    <t>Inventory; Imperfect production; Screening process; Shortage; Time dependent demand; Variable screening rate</t>
  </si>
  <si>
    <t>PRODUCTION INVENTORY MODEL; PRODUCTION QUANTITY MODEL; 2-STAGE SUPPLY CHAIN; STOCHASTIC DEMAND; INSPECTION ERRORS; DEFECTIVE RATE; QUALITY; REWORK</t>
  </si>
  <si>
    <t>This study presents an imperfect production inventory model in which shortages occur depending on the screening rate of the produced items in the manufacturing system. Since in the system, there may exist some unplanned events, such as machinery faults and labor issues etc., so the screening rate cannot be predicted by the manufacturer. Henceforth, here it has been considered as a variable because of disruptions in the screening process which creates complexity in the manufacturer's demand fulfillment process. Now, on the basis of screening rate, there may exist two cases. In the first case, the screening rate of perfect items is higher than the demand rate, that means, there is no shortage during the demand fulfillment process. On the other hand, the screening rate of perfect items is lower than the demand rate. In this case, shortages may occurred in the system. In this investigation, a time dependent non-linear demand function has also been considered. Additionally, the screening cost of the product depends on the screening rate. The objective of this study is to find the optimum values of the production rate, screening rate, and business period in such a way that the manufacturer's profit is maximized. Compairing two cases, we find that imperfectness and shortages have a negative impact on the average profit. The screening fraction parameter has positive impact on the average profit of the manufacturer. Also, sensitivity analysis is provided and some managerial insights are concluded for two cases.</t>
  </si>
  <si>
    <t>[Dolai, Madhusudan; Mondal, Shyamal Kumar] Vidyasagar Univ, Dept Appl Math Oceanol &amp; Comp Programming, Midnapore 721102, West Bengal, India</t>
  </si>
  <si>
    <t>0975-6809</t>
  </si>
  <si>
    <t>0976-4348</t>
  </si>
  <si>
    <t>10.1007/s13198-023-02202-w</t>
  </si>
  <si>
    <t>Engineering, Multidisciplinary</t>
  </si>
  <si>
    <t>Engineering</t>
  </si>
  <si>
    <t>Do Carbon Performance and Disclosure Practices Effect Companies' Financial Performance: A Non-Linear Perspective</t>
  </si>
  <si>
    <t>Carbon performance; Disclosure practices; National stock exchange; Dynamic panel data analysis; Financial performance; Non-linear relationship; Q4; Q5; E44; C23; O16; C24</t>
  </si>
  <si>
    <t>ENVIRONMENTAL PERFORMANCE; SOCIAL-RESPONSIBILITY; BOARD CHARACTERISTICS; ECONOMIC-PERFORMANCE; FIRM PERFORMANCE; PANEL-DATA; IMPACT; SPECIFICATION; MANAGEMENT; GREEN</t>
  </si>
  <si>
    <t>To find out how carbon performance and disclosure practices affects corporate's financial performance, this study investigates its non-linear influence on financial performance by considering non-financial 100 businesses that are listed on National Stock Exchange 200 Index in India for the consecutive 12 years, i.e., from 2010 to 2021. It employs two indicators of environmental-related information like carbon performance which is measured in terms of greenhouse gas reduction, and disclosure practices which is measured in terms of environmental disclosure score. It uses the dynamic panel data regression analysis technique to estimate the parameters. The empirical outcomes show an obvious non-linear impact of carbon performance on corporate financial performance, which is proxied by Tobin's Q. This indicates that at the initial stage, carbon performance decreases financial performance, but later on, further increase in the carbon performance is found to improve corporates financial performance in the long duration. But, in case of disclosure practices it shows no effect on market-based economic performance, i.e., Tobin's Q. Therefore, the study recommends the investors to be courageous and patience because carbon performance will decrease financial performance at the lower level, but can give benefits in the long run. This paper also suggests the regulators to incorporate environmental standards, and introduce severe forfeits for ecological wrongdoers with the aim of enhancing companies' environmental disclosure activities.</t>
  </si>
  <si>
    <t>10.1007/s10690-023-09428-5</t>
  </si>
  <si>
    <t>Paul, Tapas Kumar; Jana, Chiranjibe; Pal, Madhumangal</t>
  </si>
  <si>
    <t>Multi-criteria group decision-making method in disposal of municipal solid waste based on cubic Pythagorean fuzzy EDAS approach with incomplete weight information</t>
  </si>
  <si>
    <t>APPLIED SOFT COMPUTING</t>
  </si>
  <si>
    <t>[Paul, Tapas Kumar; Jana, Chiranjibe; Pal, Madhumangal] Vidyasagar Univ, Dept Appl Math Oceanol &amp; Comp Programming, Midnapore 721102, India</t>
  </si>
  <si>
    <t>1568-4946</t>
  </si>
  <si>
    <t>1872-9681</t>
  </si>
  <si>
    <t>10.1016/j.asoc.2023.110515</t>
  </si>
  <si>
    <t>Computer Science, Artificial Intelligence; Computer Science, Interdisciplinary Applications</t>
  </si>
  <si>
    <t>Das, Surojit</t>
  </si>
  <si>
    <t>The crisis of carbapenemase-mediated carbapenem resistance across the human-animal-environmental interface in India</t>
  </si>
  <si>
    <t>INFECTIOUS DISEASES NOW</t>
  </si>
  <si>
    <t>[Das, Surojit] Vidyasagar Univ, Biomed Lab Sci &amp; Management, Midnapore 721102, West Bengal, India</t>
  </si>
  <si>
    <t>ELSEVIER FRANCE-EDITIONS SCIENTIFIQUES MEDICALES ELSEVIER</t>
  </si>
  <si>
    <t>ISSY-LES-MOULINEAUX</t>
  </si>
  <si>
    <t>65 RUE CAMILLE DESMOULINS, CS50083, 92442 ISSY-LES-MOULINEAUX, FRANCE</t>
  </si>
  <si>
    <t>2666-9927</t>
  </si>
  <si>
    <t>2666-9919</t>
  </si>
  <si>
    <t>10.1016/j.idnow.2022.09.023</t>
  </si>
  <si>
    <t>Infectious Diseases</t>
  </si>
  <si>
    <t>The status of tribal medical system and practices in the Jungle Mahals, Eastern India, 1947-2000</t>
  </si>
  <si>
    <t>[Mahato, Nirmal Kumar] Vidyasagar Univ, Ctr Environm Studies, Midnapore, India</t>
  </si>
  <si>
    <t>Mahato, NK (corresponding author), Vidyasagar Univ, Ctr Environm Studies, Midnapore, India.</t>
  </si>
  <si>
    <t>10.1007/s43539-022-00068-8</t>
  </si>
  <si>
    <t>Das, Aparna; Roy, Sankar Kumar</t>
  </si>
  <si>
    <t>Dynamics of stage-structured prey-predator model with prey refuge and harvesting</t>
  </si>
  <si>
    <t>[Das, Aparna; Roy, Sankar Kumar] Vidyasagar Univ, Dept Appl Math Oceanol &amp; Comp Programming, Midnapore, India</t>
  </si>
  <si>
    <t>Roy, SK (corresponding author), Vidyasagar Univ, Midnapore 721102, India.</t>
  </si>
  <si>
    <t>NOV 2</t>
  </si>
  <si>
    <t>10.1080/02286203.2021.2007321</t>
  </si>
  <si>
    <t>Bhattacharya, Sanchita</t>
  </si>
  <si>
    <t>Indigenous knowledge for sustainable development: A case study of Kurmi Mahatos</t>
  </si>
  <si>
    <t>Conservation; Indigenous knowledge; Resistance; Resource; Sustainable development; S-W-O-C</t>
  </si>
  <si>
    <t>MEDICINAL-PLANTS; TRIBES</t>
  </si>
  <si>
    <t>Indigenous knowledge is considered the invaluable treasure of any particular community. It refers to unique traditional knowledge within a specific geographic area that facilitates indigenous cultural development. Sustainable development is an economically viable, environmentally, and socially beneficial process that balances the present and future communities' needs, for which preservation, promotion, and transmission are the primary requisites. The present study focuses on the Kurmi Mahatos, and their reliance on the traditional methods of using plant and animal species for medical assistance. Indigenous peoples and their knowledge are considered the guardians of the earth, as their conventional practices of medical assistance focus on managing natural resources to the fullest. Their knowledge represents a collection of cultural wisdom for natural resource management, along with the incorporation of caring and respect. Conserving their knowledge of medicinal plants and animals is vital to sustainable development. The S-W-O-C index highlights the chances between resistance and potentiality of this traditional practice.</t>
  </si>
  <si>
    <t>[Bhattacharya, Sanchita] Vidyasagar Univ, Ctr Adivasi Studies &amp; Museum, Paschim Medinipur 721102, W Bengal, India</t>
  </si>
  <si>
    <t>Bhattacharya, S (corresponding author), Vidyasagar Univ, Ctr Adivasi Studies &amp; Museum, Paschim Medinipur 721102, W Bengal, India.</t>
  </si>
  <si>
    <t>10.1007/s43539-024-00120-9</t>
  </si>
  <si>
    <t>Mukherjee, R; Maity, J</t>
  </si>
  <si>
    <t>Mukherjee, R.; Maity, J.</t>
  </si>
  <si>
    <t>COLOUR RETENTION IN ORNAMENTAL FISH, INDIAN ROSY BARB (Pethia conchonius), USING PETAL MEAL OF ASIAN PIGEONWINGS (Clitoria ternatea)</t>
  </si>
  <si>
    <t>APPLIED BIOLOGICAL RESEARCH</t>
  </si>
  <si>
    <t>Asian; colour retention; formulated feed; natural carotenoids; rosy barb</t>
  </si>
  <si>
    <t>CAROTENOID SOURCE; GROWTH; PIGMENTATION; MARIGOLD; SUPPLEMENTATION; OLEORESIN; SURVIVAL; DIETS</t>
  </si>
  <si>
    <t>The use of synthetic carotenoids in fish feed to potentiate the colouration, along with some health benefits has become exorbitant to mitigate the demand for lucrative ornamental fish within budget. Switching the source of pigmentation and colouration from synthetic to natural sources is all time preferable choice for biological system as well as for fish farmers. Petal dust of Asian pigeonwings (Clitoria ternatea) was incorporated in basal diet to retain the colour of rosy barb (Pethia conchonius) within captive conditions. Varied concentrations of petal dust (0.5, 1.0, 1.5 and 2 g 100 g(-1) basal feed) were added to the basal feed, fed twice a day at 4% body weight. Water quality parameters and proximate analysis of feed and growth parameters were measured and carotenoid concentration in fish tissue were measured spectrophotometrically. At the completion of 60 day's experiment a spectacular increase in growth, survival, and carotenoid concentrations (1.88 to 2.42 mu g g(-1)) in body tissue was observed. The best survival and growth of fish were obtained from D4 (0.5%) at 5% level of significance. In proper captive conditions, it is recommended to include 0.5% Asian Pigeonwings dust in prepared feed for better growth and colour retention of rosy barb. carotenoids, rosy barb</t>
  </si>
  <si>
    <t>[Mukherjee, R.] Vidyasagar Univ, Ctr Life Sci, Midnapore 721102, W Bengal, India; [Maity, J.] Vidyasagar Univ, Dept Fishery Sci, Midnapore 721102, W Bengal, India</t>
  </si>
  <si>
    <t>Maity, J (corresponding author), Vidyasagar Univ, Dept Fishery Sci, Midnapore 721102, W Bengal, India.</t>
  </si>
  <si>
    <t>CENTRE ADVANCEMENT APPLIED SCIENCES</t>
  </si>
  <si>
    <t>JAMMU &amp; KASHMIR</t>
  </si>
  <si>
    <t>SHALIMAAR BAUGH, NEAR SKUAST K, SRINAGAR, JAMMU &amp; KASHMIR, 190 001, INDIA</t>
  </si>
  <si>
    <t>0972-0979</t>
  </si>
  <si>
    <t>0974-4517</t>
  </si>
  <si>
    <t>10.48165/abr.2024.26.01.10</t>
  </si>
  <si>
    <t>Fostering roles of super predator in a three-species food chain</t>
  </si>
  <si>
    <t>INTERNATIONAL JOURNAL OF DYNAMICS AND CONTROL</t>
  </si>
  <si>
    <t>[Jana, Abhijit; Roy, Sankar Kumar] Vidyasagar Univ, Dept Appl Math Oceanol &amp; Comp Programming, Midnapore 721102, West Bengal, India</t>
  </si>
  <si>
    <t>2195-268X</t>
  </si>
  <si>
    <t>2195-2698</t>
  </si>
  <si>
    <t>10.1007/s40435-022-00970-0</t>
  </si>
  <si>
    <t>Automation &amp; Control Systems; Engineering, Mechanical; Mathematics, Applied</t>
  </si>
  <si>
    <t>Automation &amp; Control Systems; Engineering; Mathematics</t>
  </si>
  <si>
    <t>Das, Ramesh Chandra</t>
  </si>
  <si>
    <t>Social Sector Spending, Governance and Economic Development Perspectives from Across the World Introduction</t>
  </si>
  <si>
    <t>SOCIAL SECTOR SPENDING, GOVERNANCE AND ECONOMIC DEVELOPMENT: Perspectives from Across the World</t>
  </si>
  <si>
    <t>Editorial Material; Book Chapter</t>
  </si>
  <si>
    <t>[Das, Ramesh Chandra] Vidyasagar Univ, Econ, Midnapore, W Bengal, India</t>
  </si>
  <si>
    <t>Das, RC (corresponding author), Vidyasagar Univ, Econ, Midnapore, W Bengal, India.</t>
  </si>
  <si>
    <t>ROUTLEDGE</t>
  </si>
  <si>
    <t>2 PARK SQ, MILTON PARK, ABINGDON OX14 4RN, OXFORD, ENGLAND</t>
  </si>
  <si>
    <t>10.4324/9781003245797-1</t>
  </si>
  <si>
    <t>Economics; Sociology</t>
  </si>
  <si>
    <t>Business &amp; Economics; Sociology</t>
  </si>
  <si>
    <t>Bhaumik, Ankan; Roy, Sankar Kumar</t>
  </si>
  <si>
    <t>Fuzzy matrix game: A fast approach using artificial hybrid neural-net logic-gate switching circuit</t>
  </si>
  <si>
    <t>SOFT COMPUTING</t>
  </si>
  <si>
    <t>[Bhaumik, Ankan; Roy, Sankar Kumar] Vidyasagar Univ, Dept Appl Math Oceanol &amp; Comp Programming, Midnapore 721102, W Bengal, India</t>
  </si>
  <si>
    <t>1432-7643</t>
  </si>
  <si>
    <t>1433-7479</t>
  </si>
  <si>
    <t>SOFT COMPUT</t>
  </si>
  <si>
    <t>Soft Comput.</t>
  </si>
  <si>
    <t>10.1007/s00500-022-07346-8</t>
  </si>
  <si>
    <t>Islam, Sk Rabiul; Pal, Madhumangal</t>
  </si>
  <si>
    <t>Further development of F-index for fuzzy graph and its application in Indian railway crime</t>
  </si>
  <si>
    <t>[Islam, Sk Rabiul; Pal, Madhumangal] Vidyasagar Univ, Dept Appl Math Oceanol &amp; Comp Programming, Midnapore 721102, India</t>
  </si>
  <si>
    <t>10.1007/s12190-022-01748-5</t>
  </si>
  <si>
    <t>Das, A; Mandal, S; Roy, SK</t>
  </si>
  <si>
    <t>Das, Aparna; Mandal, Satyaram; Roy, Sankar kumar</t>
  </si>
  <si>
    <t>BIFURCATION ANALYSIS WITHIN A MODIFIED MAY-HOLLING-TANNER PREY-PREDATOR SYSTEM VIA ALLEE EFFECT AND HARVESTING ON PREDATOR</t>
  </si>
  <si>
    <t>Holling-Tanner Prey-Predator Model; Allee effect; Hopf bifurcation; saddle-node bifurcation; Bogdanov-Takens bifurcation.</t>
  </si>
  <si>
    <t>MODEL; STABILITY; ABUNDANCE; BEHAVIOR</t>
  </si>
  <si>
    <t>. In order to simulate predator expansion, this article integrates the Allee effect with simultaneous harvesting in an investigation of a HollingTanner predator-prey system. Under certain assumptions, our study indicates a maximum of three equilibrium points in the first quadrant. Additionally, we provide the prerequisites for populations of prey and predators to coexist. We also find parameter subsets in the system that lead to saddle-node and Hopf bifurcations. We derive the global stability criteria using Lyapunov functions. Our results are validated by numerical simulations performed using the MATCONT software in MATLAB. The model is more realistic now that an Allee effect and harvesting mechanisms have been added, representing the complexities of predator-prey dynamics in real-world ecosystems. The investigation of equilibrium points, bifurcation occurrences, and stability criteria contributes to the advancement of knowledge regarding the dynamics of ecological systems. This study emphasizes how important it is to take into account complex interactions when modeling ecosystems, especially when it comes to predatorprey dynamics. Subsequent studies might explore further ecological elements to enhance our comprehension of these systems. In conclusion, by clarifying important dynamics and offering insights into the behavior of predator-prey systems under various circumstances, our work advances ecological modeling.</t>
  </si>
  <si>
    <t>[Das, Aparna; Mandal, Satyaram; Roy, Sankar kumar] Vidyasagar Univ, Dept Appl Math, Midnapore 721102, West Bengal, India</t>
  </si>
  <si>
    <t>10.3934/naco.2024043</t>
  </si>
  <si>
    <t>The Digitalization Conundrum in India: Applications, Access and Aberrations</t>
  </si>
  <si>
    <t>10.5530/jscires.13.2.51</t>
  </si>
  <si>
    <t>Hazra, S; Pal, D; Das, P; Mitra, D; Mondal, T; Ghosh, D</t>
  </si>
  <si>
    <t>Hazra, Sukriti; Pal, Dibya; Das, Puja; Mitra, Dipanwita; Mondal, Tanusree; Ghosh, Debidas</t>
  </si>
  <si>
    <t>Pre-clinical study on hypo-testicular activity of hydro-ethanol (60:40) extract of Areca catechu (L.) in albino rat: Dose-dependent response</t>
  </si>
  <si>
    <t>INTERNATIONAL JOURNAL OF AYURVEDIC MEDICINE</t>
  </si>
  <si>
    <t>Androgenesis; Apoptosis; Oxidative stress; Male contraceptive; Spermatokinetics; Spermiological profile.</t>
  </si>
  <si>
    <t>MALE-INFERTILITY; ANDROGENS</t>
  </si>
  <si>
    <t>The study focused to assess the dose-dependent hypo-testicular activity of hydro-ethanol seed extract of Areca catechu (10, 20 and 40 mg/ 100 g body weight) in albino rats. For this purpose, body weight, reproductive organosomatic indices, as well as motility, count, hypo-osmotic swelling and acrosomal cap status of sperm along with the quantity of testicular androgenic key enzyme activities, serum testosterone, oxidative stress sensors, seminal vesicular fructose (SVF), apoptosis linked gene expression study and histology of testicular tissue for spermatokinetics were covered here. All the said doses revealed a significant (p&lt;0.05) downward deviation in spermiological profile, serum testosterone, SVF levels, activities of testicular triangle 5,3 beta and 17 beta-HSD, seminiferous tubular diameter compared to the vehicle-treated control (VTC). In contrast to the VTC, activities of superoxide dismutase and peroxidase were decreased along with elevation in the levels of thio-barbituric acid reactive substances significantly (p&lt;0.05) in testis and sperm pellet of extract-treated groups. Testicular pro-apoptotic Bax gene expression was elevated and anti-apoptotic Bcl-2 gene expression was diminished significantly (p&lt;0.05) after extract treatment compared to the VTC. Non-significant changes (p&gt;0.05) were noted in hepatic acid and alkaline phosphatase activities which focused the non-toxic characteristics of said extract in general. This study interpreted that, 40 mg showed drastic hypo-testicular efficacy cum necrotic changes compared to other doses though the therapeutic dose that cross the borderline of fertile sensors from spermiological indicators is 20 mg dose. Liquid chromatography-mass spectrometry analysis of the said extract showed that ten phyto-molecules belong to flavonoid, alkaloid and isoflavone groups mainly.</t>
  </si>
  <si>
    <t>[Hazra, Sukriti; Ghosh, Debidas] Vidyasagar Univ, Dept Biomed Lab Sci &amp; Management, Mol Med Nutrigen &amp; Publ Hlth Res Lab, Midnapore, India; [Pal, Dibya; Das, Puja] Vidyasagar Univ, Ctr Life Sci, Midnapore, India</t>
  </si>
  <si>
    <t>Ghosh, D (corresponding author), Vidyasagar Univ, Dept Biomed Lab Sci &amp; Management, West Midnapore 721102, W Bengal, India.</t>
  </si>
  <si>
    <t>AYURVEDA SAHITI PRABHA</t>
  </si>
  <si>
    <t>ANDHRA PRADESH</t>
  </si>
  <si>
    <t>1-2-288-23, SBH COLONY, HYDERABAD, ANDHRA PRADESH, 500 029, INDIA</t>
  </si>
  <si>
    <t>0976-5921</t>
  </si>
  <si>
    <t>APR-JUN</t>
  </si>
  <si>
    <t>Medicine, Research &amp; Experimental</t>
  </si>
  <si>
    <t>Research &amp; Experimental Medicine</t>
  </si>
  <si>
    <t>Bhunia, S; Ghorai, G</t>
  </si>
  <si>
    <t>Bhunia, Supriya; Ghorai, Ganesh</t>
  </si>
  <si>
    <t>AN APPROACH TO LAGRANGE'S THEOREM IN PYTHAGOREAN FUZZY SUBGROUPS</t>
  </si>
  <si>
    <t>Pythagorean fuzzy set; Pythagorean fuzzy subgroup; Pythagorean fuzzy order; Pythagorean fuzzy quotient group</t>
  </si>
  <si>
    <t>HOMOMORPHISM</t>
  </si>
  <si>
    <t>The Pythagorean fuzzy environment is a modern way of depicting uncertainty. The concept of Pythagorean fuzzy semi-level subgroups of any group is described in this paper. The Pythagorean fuzzy order of an element in a Pythagorean fuzzy subgroup is introduced and established various algebraic attributes. The relation between the Pythagorean fuzzy order of an element of a group and the order of that group is established. The Pythagorean fuzzy normalizer and Pythagorean fuzzy centralizer of Pythagorean fuzzy subgroups are discussed. Further, the concept of Pythagorean fuzzy quotient group and the index of a Pythagorean fuzzy subgroup are defined. Finally, a framework is developed for proving Lagrange's theorem in Pythagorean fuzzy subgroups.</t>
  </si>
  <si>
    <t>[Bhunia, Supriya; Ghorai, Ganesh] Vidyasagar Univ, Dept Appl Math Oceanol &amp; Comp Programming, Midnapore 721102, India</t>
  </si>
  <si>
    <t>Bhunia, S (corresponding author), Vidyasagar Univ, Dept Appl Math Oceanol &amp; Comp Programming, Midnapore 721102, India.</t>
  </si>
  <si>
    <t>10.46793/KgJMat2406.893B</t>
  </si>
  <si>
    <t>State-of-art engineering approaches for ameliorated production of microbial lipid</t>
  </si>
  <si>
    <t>Lipids; Algae; Bacteria; Fungi; Yeast; Genetic and metabolic engineering</t>
  </si>
  <si>
    <t>LINOLENIC ACID PRODUCTION; FATTY-ACID; MUCOR-CIRCINELLOIDES; MALIC ENZYME; ESCHERICHIA-COLI; GREEN MICROALGA; SACCHAROMYCES-CEREVISIAE; RHODOCOCCUS-OPACUS; CHLORELLA-VULGARIS; LIPOMYCES-STARKEYI</t>
  </si>
  <si>
    <t>In modern human civilization, the demand for lipids has become upswing for several purposes: nutritional supplements, the production of foods, surfactants, lubricants, and biofuels. With the gradual rise in population, shortage, and deterioration of arable land due to anthropogenic activities, traditional lipids production methods alone cannot conciliate future demand. Various microbial genera related to algae, bacteria, fungi, and yeast can synthesize and accumulate lipids in their bodies. Currently, microbial lipids have emerged as a sustainable successor of plant-derived lipids. However, the commercial scale production of microbial lipids faces some problems such as inadequate level of lipid accumulation in the microbial cells, lipid extraction, and operational cost associated with microbial cultivation. Thus, there is an urgent need to construct oleaginous microbes with modified, preferable features. With the modern biotechnological tools, the insights of the complex microbial genetic makeup and metabolic pathways become explored, allowing various genetic engineering (GE) and metabolic engineering (ME) approaches to develop microbes of desired lipid production abilities with the required lipid profile and physiological qualities. The current review mainly deals with the basic lipid metabolic pathways run in the various groups of microbes, properties of lipids they synthesized, state-of-the-art GE and ME techniques useful for the lipid overproduction in oleaginous microbes, and explain challenging futuristic developmental directions.</t>
  </si>
  <si>
    <t>Mondal, KC (corresponding author), Vidyasagar Univ, Dept Microbiol, Midnapore 721102, West Bengal, India.</t>
  </si>
  <si>
    <t>10.1007/s43393-023-00195-y</t>
  </si>
  <si>
    <t>Ghosh, Shantanu; Sahu, Tarak Nath</t>
  </si>
  <si>
    <t>Targeting zero hunger to ensure sustainable development: Insights from a panel structure</t>
  </si>
  <si>
    <t>[Ghosh, Shantanu] Vidyasagar Univ, Dept Commerce, Midnapore 721102, West Bengal, India; [Sahu, Tarak Nath] Vidyasagar Univ, Dept Business Adm, Midnapore 721102, West Bengal, India; [Sahu, Tarak Nath] Vidyasagar Univ, Dept Business Adm, Midnapore 721102, West Bengal, India</t>
  </si>
  <si>
    <t>10.1002/sd.2549</t>
  </si>
  <si>
    <t>Mondal, Krishna Gopal; Jana, Paresh Chandra; Saha, Satyajit</t>
  </si>
  <si>
    <t>Optical and structural properties of 2D transition metal dichalcogenides semiconductor MoS2</t>
  </si>
  <si>
    <t>BULLETIN OF MATERIALS SCIENCE</t>
  </si>
  <si>
    <t>[Mondal, Krishna Gopal; Jana, Paresh Chandra; Saha, Satyajit] Vidyasagar Univ, Dept Phys, Midnapore 721102, India</t>
  </si>
  <si>
    <t>Mondal, KG (corresponding author), Vidyasagar Univ, Dept Phys, Midnapore 721102, India.</t>
  </si>
  <si>
    <t>0250-4707</t>
  </si>
  <si>
    <t>0973-7669</t>
  </si>
  <si>
    <t>10.1007/s12034-022-02852-9</t>
  </si>
  <si>
    <t>Materials Science, Multidisciplinary</t>
  </si>
  <si>
    <t>Materials Science</t>
  </si>
  <si>
    <t>Land suitability assessment for urban built-up development of a city in the Eastern Himalayan foothills: a study towards urban sustainability</t>
  </si>
  <si>
    <t>Urban built-up land (UBL); Urban growth; Multi-criteria decision making (MCDM); Evidential believe function (EBF); Land suitability assessment (LSA)</t>
  </si>
  <si>
    <t>INTEGRATED EVALUATION; FREQUENCY RATIO; GIS TECHNIQUES; MODEL; GROWTH; INDEX</t>
  </si>
  <si>
    <t>In order to achieve the socio-environmental sustainability, it is important to identify the suitable zone for urban built-up land (UBL) development. Hence, this study has elucidated the most suitable sites for sustainable urban growth in Siliguri Municipal Corporation (SMC) area based on ten most significant influential factors and their subcriteria. Different geophysical data, official data, and open street data were used to assess the land suitability for future urban growth by integrating multi-criteria decision-making (MCDM) techniques and different geo-statistical models, namely multi-influence factor, frequency ratio, weights of evidence, and evidential believe function. Based on the land suitability assessment (LSA) outcomes, four different zones were identified such as zone of very high suitability zone, high suitability zone, moderately suitable zone, and low suitable zone. The findings of this study revealed that the 1/3rd of the area in SMC, especially in the central-western part has observed as low suitability for sustainable urban development, whereas moderately suitable areas (32-36%) are composed of well-connected regions and 13-24% area has been noticed as the high to very high suitable zone for sustainable urban development. The outcome of the selected models has been validated (&gt; 80%) by the receiver operating characteristics (ROC) curve after checking multi-collinearity and variance inflation factors (VIF). Still, the northernmost and eastern parts of the SMC region have a high proportionality of new residential and built-up area sites that can be utilised as second-degree suitable land for future sustainable urban development. Consequently, the identification of proper site suitability will be helpful for urban planner to reshaping the urban landscape as sustainable urban future.</t>
  </si>
  <si>
    <t>[Mallick, Suraj Kumar; Rudra, Somnath; Maity, Biswajit] Vidyasagar Univ, Dept Geog, Midnapore 721102, W Bengal, India</t>
  </si>
  <si>
    <t>Rudra, S (corresponding author), Vidyasagar Univ, Dept Geog, Midnapore 721102, W Bengal, India.</t>
  </si>
  <si>
    <t>10.1007/s10668-022-02857-8</t>
  </si>
  <si>
    <t>Ghosh, Subrata; Dinda, Santanu; Das Chatterjee, Nilanjana; Dutta, Shrabanti; Bera, Dipankar</t>
  </si>
  <si>
    <t>Spatial-explicit carbon emission-sequestration balance estimation and evaluation of emission susceptible zones in an Eastern Himalayan city using Pressure-Sensitivity-Resilience framework: An approach towards achieving low carbon cities</t>
  </si>
  <si>
    <t>[Ghosh, Subrata; Dinda, Santanu; Das Chatterjee, Nilanjana; Dutta, Shrabanti; Bera, Dipankar] Vidyasagar Univ, Dept Geog, Midnapore 721102, W Bengal, India</t>
  </si>
  <si>
    <t>Das Chatterjee, N (corresponding author), Vidyasagar Univ, Dept Geog, Midnapore 721102, W Bengal, India.</t>
  </si>
  <si>
    <t>10.1016/j.jclepro.2022.130417</t>
  </si>
  <si>
    <t>Delineation of geospatial indices based water bodies' and vegetation change mapping using Sentinel-2 imagery in Canning blocks of south 24 parganas district, India</t>
  </si>
  <si>
    <t>REMOTE SENSING APPLICATIONS-SOCIETY AND ENVIRONMENT</t>
  </si>
  <si>
    <t>2352-9385</t>
  </si>
  <si>
    <t>REMOTE SENS APPL</t>
  </si>
  <si>
    <t>Remote Sens. Appl.-Soc. Environ.</t>
  </si>
  <si>
    <t>10.1016/j.rsase.2021.100688</t>
  </si>
  <si>
    <t>Environmental Sciences; Remote Sensing</t>
  </si>
  <si>
    <t>Environmental Sciences &amp; Ecology; Remote Sensing</t>
  </si>
  <si>
    <t>Prevalence and determinants of intimate partner violence under a corona virus situation: technical efficiency analysis across Indian states and union territories</t>
  </si>
  <si>
    <t>DOMESTIC VIOLENCE; WOMEN; CRIME</t>
  </si>
  <si>
    <t>This study attempted to determine how political engagement, accreditation, and female autonomy controlled intimate partner violence (IPV) in the COVID-19 scenario. The empirical investigation used published statistics on IPV for 27 Indian states and two union territories. The investigation used methods such as principal component analysis, the technical inefficiency effects model, and nonparametric analysis of variance (ANOVA). The results showed that Odisha, West Bengal, Uttarakhand, and Chhattisgarh were the states most efficient in regulating IPV. The Judiciary and Public Safety Score, female autonomy, and political involvement and accreditation, as evaluated based on female Members of Parliament (MPs) and Members of the Legislative Assembly (MLAs), are the most important factors in minimizing state-managed inefficiency. The study concludes with pertinent conclusions, some policy recommendations, and a focus on the trajectory of future research.</t>
  </si>
  <si>
    <t>[Maity, Shrabanti] Vidyasagar Univ, Dept Econ, Midnapore 721102, W Bengal, India</t>
  </si>
  <si>
    <t>Maity, S (corresponding author), Vidyasagar Univ, Dept Econ, Midnapore 721102, W Bengal, India.</t>
  </si>
  <si>
    <t>10.1057/s41599-024-04313-6</t>
  </si>
  <si>
    <t>Saha, S; Santra, HK; Chattopadhyay, S; Banerjee, D</t>
  </si>
  <si>
    <t>Saha, Sangita; Santra, Hiran Kanti; Chattopadhyay, Sandip; Banerjee, Debdulal</t>
  </si>
  <si>
    <t>Production of Exopolysaccharide from an Endophytic Fusarium sp. Glos2 and Documentation of its In vitro Antioxidative Potentialities</t>
  </si>
  <si>
    <t>Endophytic Fungi; Heteropolysaccharide; Process Optimization; in vitro Antioxidant</t>
  </si>
  <si>
    <t>STRUCTURAL ELUCIDATION; PHYSICOCHEMICAL CHARACTERIZATION; POLYSACCHARIDE; OPTIMIZATION; BIOACTIVITY</t>
  </si>
  <si>
    <t>This study investigated the exopolysaccharide (EPS) producing ability of an endophytic fungus GloS2. It involved examining various aspects, including identifying and cultivating endophytic fungi, producing and characterizing EPS, optimizing the production process, and evaluating their antioxidant properties. The fungus GloS2 ( Fusarium sp.) was optimized for EPS synthesis through one variable at a time (OVAT) and response surface methodology (RSM) to determine the optimal culture environment and growth medium components, resulting in the maximum EPS production of 5.39 gL(-1). Furthermore, the EPS exhibited significant antioxidant activity with a greater IC50 value (15.05 +/- 0.51 mu g mL(-1)) in the hydroxyl radical scavenging assay. The Fourier Transform Infrared Spectral analysis indicates the presence of chemical groups i.e., O-H, C-H, C-O-H, and C-O. Additionally, gas chromatography-mass spectrometry (GC-MS) analysis revealed that erythrose, fructose, and mannose were the major monosaccharide components, with a molar proportion of nearly 1:1:1 and a molecular mass of similar to 1.12 x 10(5)Da. Moreover, the structural characterization of EPS has confirmed the existence of alpha-glycosidic linkage along with beta-D-galactopyranosyl moieties and substituted glucose residues.</t>
  </si>
  <si>
    <t>[Saha, Sangita; Banerjee, Debdulal] Vidyasagar Univ, Ctr Life Sci, Midnapore, West Bengal, India; [Saha, Sangita; Chattopadhyay, Sandip] Vidyasagar Univ, Dept Biomed Lab Sci &amp; Management, Cellular &amp; Mol Toxicol Lab, Midnapore, West Bengal, India; [Saha, Sangita; Santra, Hiran Kanti; Banerjee, Debdulal] Vidyasagar Univ, Dept Bot &amp; Forestry, Microbiol &amp; Microbial Biotechnol Lab, Midnapore, West Bengal, India</t>
  </si>
  <si>
    <t>Banerjee, D (corresponding author), Vidyasagar Univ, Ctr Life Sci, Midnapore, West Bengal, India.;Banerjee, D (corresponding author), Vidyasagar Univ, Dept Bot &amp; Forestry, Microbiol &amp; Microbial Biotechnol Lab, Midnapore, West Bengal, India.</t>
  </si>
  <si>
    <t>10.22207/JPAM.18.4.63</t>
  </si>
  <si>
    <t>S</t>
  </si>
  <si>
    <t>Bera, Sudip; Samanta, Riya; Das Chatterjee, Nilanjana</t>
  </si>
  <si>
    <t>A Baseline Study on Silaboti River Shifting, Flood, and Its Impact on Livelihood at Ghatal, Paschim Medinipur District, West Bengal</t>
  </si>
  <si>
    <t>FLOODS IN THE GANGA-BRAHMAPUTRA- MEGHNA DELTA</t>
  </si>
  <si>
    <t>[Bera, Sudip; Samanta, Riya; Das Chatterjee, Nilanjana] Vidyasagar Univ, Dept Geog, Midnapore, West Bengal, India</t>
  </si>
  <si>
    <t>Das Chatterjee, N (corresponding author), Vidyasagar Univ, Dept Geog, Midnapore, West Bengal, India.</t>
  </si>
  <si>
    <t>SPRINGER NATURE SWITZERLAND AG</t>
  </si>
  <si>
    <t>PICASSOPLATZ 4, BASEL, CH-4052, SWITZERLAND</t>
  </si>
  <si>
    <t>2194-315X</t>
  </si>
  <si>
    <t>2194-3168</t>
  </si>
  <si>
    <t>10.1007/978-3-031-21086-015</t>
  </si>
  <si>
    <t>Environmental Sciences; Geosciences, Multidisciplinary; Water Resources</t>
  </si>
  <si>
    <t>Book Citation Index – Science (BKCI-S)</t>
  </si>
  <si>
    <t>Environmental Sciences &amp; Ecology; Geology; Water Resources</t>
  </si>
  <si>
    <t>Social Sector Spending, Governance and Economic Development Perspectives from Across the World Preface</t>
  </si>
  <si>
    <t>IDEAL AND DOT IDEAL OF A PS ALGEBRA IN PICTURE FUZZY ENVIRONMENT</t>
  </si>
  <si>
    <t>Dogra, S (corresponding author), Vidyasagar Univ, Dept Appl Math Oceanol &amp; Comp Programming, Midnapore 721102, India.</t>
  </si>
  <si>
    <t>An investigation of edge F-index on fuzzy graphs and application in molecular chemistry</t>
  </si>
  <si>
    <t>COMPLEX &amp; INTELLIGENT SYSTEMS</t>
  </si>
  <si>
    <t>2199-4536</t>
  </si>
  <si>
    <t>2198-6053</t>
  </si>
  <si>
    <t>COMPLEX INTELL SYST</t>
  </si>
  <si>
    <t>COMPLEX INTELL. SYST.</t>
  </si>
  <si>
    <t>10.1007/s40747-022-00896-2</t>
  </si>
  <si>
    <t>Evaluations formedical diagnoses phenomena through 2 x 2 linguistic neutrosophic environment-based game situation</t>
  </si>
  <si>
    <t>10.1007/s00500-022-06881-8</t>
  </si>
  <si>
    <t>Brand New Nation: Capitalist Dream and Nationalist Designs in Twenty-First- Century India</t>
  </si>
  <si>
    <t>[Ghosh, Sujay] Vidyasagar Univ, Polit Sci, Midnapore, W Bengal, India</t>
  </si>
  <si>
    <t>Ghosh, S (corresponding author), Vidyasagar Univ, Polit Sci, Midnapore, W Bengal, India.</t>
  </si>
  <si>
    <t>10.1177/14649934211019339</t>
  </si>
  <si>
    <t>Barik, B; Ghosh, K</t>
  </si>
  <si>
    <t>Barik, Bidyut; Ghosh, Kausik</t>
  </si>
  <si>
    <t>Evaluating groundwater potential in water-deficit laterite zones of Eastern India using RS and GIS techniques, combining an analytical hierarchical process for sustainable water resources management</t>
  </si>
  <si>
    <t>GROUNDWATER FOR SUSTAINABLE DEVELOPMENT</t>
  </si>
  <si>
    <t>Groundwater potential zones; AHP; Laterite; Groundwater extraction; Sustainable water use; Eastern India</t>
  </si>
  <si>
    <t>MULTICRITERIA DECISION-ANALYSIS; RECHARGE ZONES; WEST-BENGAL; LAND-USE; DELINEATION; INFORMATION; DISTRICT; RAINFALL; CLIMATE; BASIN</t>
  </si>
  <si>
    <t>Sustainable groundwater management in water-deficit, laterite-dominated regions need urgent planning, which involve accurate identification of groundwater potential zones (GWPZs). While unsustainable water extraction has exacerbated groundwater availability in laterite zones, laterite is globally known for its limited groundwater potential but has received relatively little research attention. Therefore, the present study aims to examine the role of laterite formation on groundwater potentiality and its relationship with the stage of groundwater development in Paschim Medinipur district of West Bengal in eastern India. This study integrated cost-effective and efficient time-saving tools like remote sensing, and GIS and to produce thematic map layers for overlay analysis and analytical hierarchy process (AHP) to delineate the GWPZs precisely using n = 10 parameters, while a consistency check was performed prior to the integration of these parameters to ensure low subjectivity in the GWPZ. The three identified GWPZ classes cover 30% of 'good', 44% of 'moderate' and 26% of 'poor' zones. The yield data and water level fluctuation analysis revealed that 70% and 60% match the delineated GWPZs. The cross-validation with the receiver operating characteristic curve also demonstrated good (75.1%) prediction accuracy. We found that hydrogeological factors like laterite formations witness around 80% of moderate to poor GWPZ, while poor GWPZ covers half of the laterite belt. However, flood plains and valley fill deposits in the lateritic parts demonstrate moderate to good GWPZ, suggesting laterite formation at variable depths that control groundwater recharge potential. The laterite regions with lower groundwater recharge potential have experienced a 17% increase in water extraction compared to non-laterite areas. Whereas four blocks within the district are partly overlapped with laterite formations and poor GWPZ, which encounter high stages of groundwater development (70-90%), leading to semi-critical to critical conditions. It is attributed to anthropogenic perturbations and hydrogeological conditions, which need urgent planning to ensure sustainable groundwater usage.</t>
  </si>
  <si>
    <t>[Barik, Bidyut; Ghosh, Kausik] Vidyasagar Univ, Fac Sci, Dept Geog, Midnapore 721102, India</t>
  </si>
  <si>
    <t>Ghosh, K (corresponding author), Vidyasagar Univ, Fac Sci, Dept Geog, Midnapore 721102, India.</t>
  </si>
  <si>
    <t>2352-801X</t>
  </si>
  <si>
    <t>10.1016/j.gsd.2024.101344</t>
  </si>
  <si>
    <t>Engineering, Environmental; Environmental Sciences; Water Resources</t>
  </si>
  <si>
    <t>Engineering; Environmental Sciences &amp; Ecology; Water Resources</t>
  </si>
  <si>
    <t>Optomechanically induced transparency and photon blockade in a graphene coupled nonlinear photonic crystal nanobeam cavity based optomechanical system</t>
  </si>
  <si>
    <t>PHYSICA E-LOW-DIMENSIONAL SYSTEMS &amp; NANOSTRUCTURES</t>
  </si>
  <si>
    <t>Quantum optomechanics; Quantum optics; Optomechanically induced transparency; Photon blockade</t>
  </si>
  <si>
    <t>ELECTROMAGNETICALLY INDUCED TRANSPARENCY; STRONGLY INTERACTING PHOTONS; MECHANICAL RESONATORS; QUANTUM; LIGHT; OSCILLATOR</t>
  </si>
  <si>
    <t>In this article we study tunable optically induced transparency and photon blockade in an optomechanical system comprising a suspended single -layer graphene sheet above a one-dimensional photonic crystal nanobeam cavity above which a single layer graphene sheet is suspended where optomechanical coupling exist not only between photonic and mechanical modes of nanobeam, but also between the photonic cavity field and graphene resonator and the photonic cavity exhibits Kerr type nonlinearity. We develop a Hamiltonian for the system and analytically solve for the photon transmission rate in Hamilton-Langevin formulation. It is found that we can manipulate the absorption window by varying both the nanobeam photon-nanobeam phonon coupling and nanobeam photon-graphene phonon coupling. We also theoretically and numerically analyze the photon statistics of the system. We analytically determine the optimal conditions of unconventional photon blockade due to destructive interference between different transition pathways in weak Kerr nonlinear regime. We also numerically evaluate the second order photon correlation function and plot it against different system parameters to find that the numerical results are in agreement with analytical optimal conditions.</t>
  </si>
  <si>
    <t>1386-9477</t>
  </si>
  <si>
    <t>1873-1759</t>
  </si>
  <si>
    <t>10.1016/j.physe.2024.115935</t>
  </si>
  <si>
    <t>Nanoscience &amp; Nanotechnology; Physics, Condensed Matter</t>
  </si>
  <si>
    <t>Science &amp; Technology - Other Topics; Physics</t>
  </si>
  <si>
    <t>Ganguly, RK; Chakraborty, SK</t>
  </si>
  <si>
    <t>Ganguly, Ram Kumar; Chakraborty, Susanta Kumar</t>
  </si>
  <si>
    <t>Plastic waste management during and post Covid19 pandemic: Challenges and strategies towards circular economy</t>
  </si>
  <si>
    <t>Plastic waste management; Valorization; Plastic waste footprint (PWF); Covid19 pandemic; Environment</t>
  </si>
  <si>
    <t>MARINE POLLUTION</t>
  </si>
  <si>
    <t>Global petroleum consumption suffered drastically as lockdowns were put in place to contain the Coronavirus Disease 2019 (COVID-19). As a result, oil costs dropped, making virgin plastics more cost-effective than recycled plastics. The usage of plastic has increased as a result of lifestyle modifications, cost-based incentives, and other factors, further obscuring the issue. The utilization of personal protective equipment (PPE) during the pandemic had resulted in a significant surge in the quantity of plastic waste. The plastic packaging industry achieved a revenue milestone of US$ 909.2 billion in 2021, boosting a compound annual growth rate of 5.5 %. The escalating dependence on plastics imposed additional pressure on waste management systems, which were proven to be ineffective and insufficient in addressing the issue. This situation exacerbated the problem and contributed to environmental pollution. Globally, 40 % of plastic waste ended up in landfills, 25 % was incinerated, 16 % was recycled, and the remaining 19 % infiltrated within the environment. By investing in circular technologies like feedstock recycling and enhancing infrastructural and environmental conditions, it expected to become viable to manage plastic waste flows during such a period of crisis. Investing in valorization strategies that transform plastic waste into value-added goods, such as fuels and building materials, receives a compelling macroeconomic signal when both plastic waste and plastic demand are on the rise. A robust circular economy can be accomplished by finalising the life cycle of plastic waste. The concept of Plastic Waste Footprint (PWF) aims to assess the environmental impact of plastic products throughout their intended usage period. In the midst of the emerging challenges in waste management during and post pandemic period, this research study has been conducted to explore the challenges and strategies associated with plastic waste in the environment.</t>
  </si>
  <si>
    <t>[Ganguly, Ram Kumar; Chakraborty, Susanta Kumar] Vidyasagar Univ, Dept Zool, Midnapore 721102, West Bengal, India</t>
  </si>
  <si>
    <t>Ganguly, RK (corresponding author), Vidyasagar Univ, Dept Zool, Midnapore 721102, West Bengal, India.</t>
  </si>
  <si>
    <t>10.1016/j.heliyon.2024.e25613</t>
  </si>
  <si>
    <t>Halder, B; Bandyopadhyay, J; Khatun, R</t>
  </si>
  <si>
    <t>Halder, Bijay; Bandyopadhyay, Jatisankar; Khatun, Rina</t>
  </si>
  <si>
    <t>Google Earth Engine and Sentinel 1/2 data-based forest degradation monitoring of Sundarban Biosphere Reserve</t>
  </si>
  <si>
    <t>SUSTAINABLE HORIZONS</t>
  </si>
  <si>
    <t>Forest monitoring; Mangrove forest; Cyclonic effects; Climate change; Coastal environment</t>
  </si>
  <si>
    <t>MANGROVE FORESTS; LAND; COAST</t>
  </si>
  <si>
    <t>Tropical cyclone was effect through biodiversity, environment-nature circumstances, mangrove deforestation; flood inundation and high salinity at worldwide landscape and regularly in coastal ecosystem. Indian coastal areas recorded numerous tropical cyclones were impact through nature-environment effects, like Titli, Fani, Amphan, Bulbul, and Yass. This analysis was to recognize flood inundation and LULC alteration regions because of tropical cyclones. The cloud computing-based Google Earth Engine (GEE) stage is applied for growth of the flood inundation regions assessment in the affected Indian coastal area. The Random Forest (RF) approach is applied for vegetation change monitoring and Sentinel-1 Synthetic Aperture Rader (SAR) of the pre- and post- cyclone is applied for the monitoring and mapping of cyclonic result on landforms. In the outcome, vegetation loss is 238.34 km2 2 (2015/2016), 181.79 km2 2 (2016/2017), 443.00 km2 2 (2017/2018), 22.64 km2 2 (2018/ 2019), 34.39 km2 2 (2019/2020), 118.51 km2 2 (2020/2021) and 134.24 km2 2 (2021/2022) because of those years happens numerous cyclones Fani (2019), Bulbul (2019), Amphan (2022) and Yass (2021). The NDVI of the examining years are 2016, 2017, 2018, 2019, 2020, 2021, 2022 highest values were 0.172, 0.726, 0.593, 0.831, 0.634, 0.568 and 0.387 respectively. South most parts of Ganga-delta were recording enormous alteration in certain periods; similarly, dynamics of mangrove forests are recorded. This analysis indicates that novel adaptation strategies, future disaster management and planning can help to reduce the mangrove deforestation. Mangrove plantation, river bank management and coastal planning is necessary to reducing the climate change effects. Those analyses can help to the future disaster management team, stakeholders and for awareness purpose.</t>
  </si>
  <si>
    <t>[Halder, Bijay; Bandyopadhyay, Jatisankar; Khatun, Rina] Vidyasagar Univ, Dept Remote Sensing &amp; GIS, Medinipur 721102, India</t>
  </si>
  <si>
    <t>Halder, B (corresponding author), Vidyasagar Univ, Dept Remote Sensing &amp; GIS, Medinipur 721102, India.</t>
  </si>
  <si>
    <t>2772-7378</t>
  </si>
  <si>
    <t>10.1016/j.horiz.2023.100088</t>
  </si>
  <si>
    <t>Behavioural three-way decision making with Fermatean fuzzy Mahalanobis distance: Application to the supply chain management problems</t>
  </si>
  <si>
    <t>Three-way multi-attribute decision making; Fermatean fuzzy set; Mahalanobis distance; Regret theory; Dominance relation; Prospect theory</t>
  </si>
  <si>
    <t>INTUITIONISTIC FUZZY; PROSPECT-THEORY; REGRET THEORY; MODEL</t>
  </si>
  <si>
    <t>Behavioural three-way decision making has superseded conventional two-way decision making as a result of a surge in risk and complexity of decision making. Additionally, uncertainty management is necessary for decision making issues. Thus, the goal of this study is to set up new three-way multi -attribute decision making (MADM) model, particularly targeting the following: (i) to properly deal with issues regarding ambiguity and interrelationship in MADM problems, (ii) to incorporate mindsets of decision maker in all possible aspects, (iii) to depict outcomes in terms of acceptance, suspension and rejection rather than just ranking when there are numerous elements present Firstly, the presence of ambiguity in assessment information is reflected by Fermatean fuzzy set. An advanced distance measure, the Fermatean fuzzy Mahalanobis distance, is devised in order to address the connectivity of attributes. Therefore, regret theory -based gain and loss scores are calculated to define the dominant and dominated relations. The conditional probability is then estimated using a new method based on the two relations discussed before. After that, the value functions associated to each object are derived based on closeness coefficient and prospect theory. Finally, prospect theory -based three-way decision rules are forwarded to classify and rank the objects. The application of the developed model is demonstrated through two case studies of supply chain management. Several experimental analyses are conducted under two substantial datasets taken from the KEEL database. The Spearman correlation coefficient (greater than 0.648) and hypothesis testing (p -value is less than 0.01) are employed to establish the validity and rationality of the proposed model. What is more, the error rate and modified error rate under two datasets are 6.71%, 16.85% and 6.35%, 20.65%, respectively, indicate that the proposed model is superior to other available models.</t>
  </si>
  <si>
    <t>[Mondal, Arijit; Roy, Sankar Kumar] Vidyasagar Univ, Dept Appl Math Oceanol &amp; Comp Programming, Midnapore 721102, West Bengal, India</t>
  </si>
  <si>
    <t>10.1016/j.asoc.2023.111182</t>
  </si>
  <si>
    <t>Jana, Susovon; Sahu, Tarak N.</t>
  </si>
  <si>
    <t>Is the cryptocurrency market a hedge against stock market risk? A Wavelet and GARCH approach</t>
  </si>
  <si>
    <t>ECONOMIC NOTES</t>
  </si>
  <si>
    <t>[Jana, Susovon; Sahu, Tarak N.] Vidyasagar Univ, Dept Business Adm, Midnapore 721102, W Bengal, India</t>
  </si>
  <si>
    <t>0391-5026</t>
  </si>
  <si>
    <t>1468-0300</t>
  </si>
  <si>
    <t>10.1111/ecno.12227</t>
  </si>
  <si>
    <t>Halder, B; Bandyopadhyay, J; Sandhyaki, S</t>
  </si>
  <si>
    <t>Halder, Bijay; Bandyopadhyay, Jatisankar; Sandhyaki, Sutanuka</t>
  </si>
  <si>
    <t>Impact assessment of environmental disturbances triggering aquaculture land suitability mapping using AHP and MCDA techniques</t>
  </si>
  <si>
    <t>AQUACULTURE INTERNATIONAL</t>
  </si>
  <si>
    <t>Environmental impact assessment; Climate change; Aquaculture site selection; Decision making; Sundarban biosphere</t>
  </si>
  <si>
    <t>WEST-BENGAL; 8 OLI; GIS; ISLAND; VEGETATION; INDEX; INDIA; AILA; CITY</t>
  </si>
  <si>
    <t>The examination is to emphasize the coastal dynamics and aquaculture site exploration through multi-criteria decision analysis (MCDA) with analytical hierarchy process (AHP) methods in parts of the Indian Sundarbans. The aim of this examination is to ecological disturbances and potential aquaculture land identification by applying satellite Landsat datasets and other certain datasets. Saltwater intrusion because of flood inundation and anthropogenic actions were triggering factors for deforestation, salinity increase, and shoreline change; therefore, diagraming the environmental problems was also significant. Flood-inundated lands are calculated through Google Earth Engine (GEE) platform. Index-based mapping was applied for environmental degradation throughout the study periods. Around 12 certain criteria are applied for the examination of potential fishery site selection. In this process, the area is characterized by different suitable sites for aquaculture land development. The model output designates the place and magnitude for the expansion of this region in different suitability measures viz., very high suitable 0.16% (1.91 km2), high suitable 20.98% (244.59 km2), moderate suitable 54.94% (640.43 km2), low suitable 12.43% (144.83 km2), very low suitable 0.12% (1.35 km2), and not suitable 11.37% (132.53 km2).Remote sensing (RS) and GIS applications are applied for the aquaculture land identification based on selected criteria. These outcomes help to generate employment, creative application of the region, and informally fluctuated and economically retrograde people of this location. The analysis helps organizers to design plans to connect maximum fish biomass and to originate community assistance from inland open waters in the area.</t>
  </si>
  <si>
    <t>[Halder, Bijay; Bandyopadhyay, Jatisankar; Sandhyaki, Sutanuka] Vidyasagar Univ, Dept Remote Sensing &amp; GIS, Midnapore 721102, India</t>
  </si>
  <si>
    <t>Halder, B (corresponding author), Vidyasagar Univ, Dept Remote Sensing &amp; GIS, Midnapore 721102, India.</t>
  </si>
  <si>
    <t>0967-6120</t>
  </si>
  <si>
    <t>1573-143X</t>
  </si>
  <si>
    <t>10.1007/s10499-023-01257-7</t>
  </si>
  <si>
    <t>Fisheries</t>
  </si>
  <si>
    <t>Neutrosophic multi-objective green four-dimensional fixed-charge transportation problem</t>
  </si>
  <si>
    <t>INTERNATIONAL JOURNAL OF MACHINE LEARNING AND CYBERNETICS</t>
  </si>
  <si>
    <t>1868-8071</t>
  </si>
  <si>
    <t>1868-808X</t>
  </si>
  <si>
    <t>10.1007/s13042-022-01582-y</t>
  </si>
  <si>
    <t>Malik, Suratha Kumar</t>
  </si>
  <si>
    <t>Dalit and the Historiography of Temple Entry Movements in India: Mapping Social Exclusion and Cultural Subjugation</t>
  </si>
  <si>
    <t>[Malik, Suratha Kumar] Vidyasagar Univ, Dept Polit Sci, Midnapore 721102, W Bengal, India</t>
  </si>
  <si>
    <t>Malik, SK (corresponding author), Vidyasagar Univ, Dept Polit Sci, Midnapore 721102, W Bengal, India.</t>
  </si>
  <si>
    <t>10.1177/2455328X211063340</t>
  </si>
  <si>
    <t>General approach on the best fitted linear operator and basis function for homotopy methods and application to strongly nonlinear oscillators</t>
  </si>
  <si>
    <t>MATHEMATICS AND COMPUTERS IN SIMULATION</t>
  </si>
  <si>
    <t>Homotopy analysis method; Optimal auxiliary linear operator; Basis function; Series solution; Analytical methods</t>
  </si>
  <si>
    <t>BOUNDARY-VALUE-PROBLEMS; LAYER-FLOW; EQUATIONS</t>
  </si>
  <si>
    <t>In this study, we propose a universal mathematical guideline for the selection of auxiliary linear operator L(u) and the basis function u0(x), which are the principal parts of Homotopy methods: Homotopy Perturbation Method (HPM) and Homotopy Analysis Method (HAM). We assume the coefficients of derivatives involved in L(u) as a function of auxiliary roots of L(u) = 0. Based on the residual error minimization we compute unknown roots and thereby obtain the optimal linear operator at an order of approximation. Also, an effort is made to explore the role of the number of unknowns embedded into L(u) (for different choices of real roots of L(u) = 0) on the rate of converges of the solution and CPU uses. Hence the best fitted linearoperator and corresponding basis function are proposed for a particular problem. Also, we propose to discretize the exact square residual using Simpson's 1/3 algorithms, and compare its accessibility in comparison to other existing residual calculation methods. Initially, we applied our algorithms to three IVPs (Logistic, Stiff system and Riccati system) and three singular BVPs, and then finally to a strongly nonlinear oscillator (cubic-quintic Duffing equation). We compare our technique's accuracy, efficiency and simplicity with other contemporary analytical and numerical methods. It is demonstrated that our optimal linear operator, which is updated at every order of approximation, is much more efficient, important (than the artificial parameters and functions of developed HAM), and self-sufficient for the convergence of series solutions. Our approach is more effective, straightforward and easy to use when applied to many nonlinear problems arising in mechanics and engineering. It is seen for the initial value problems that our technique provides the globally convergent series solution, while the solutions by HPM and optimal HAM are locally convergent. This novel development will make homotopy methods more powerful.</t>
  </si>
  <si>
    <t>[Roy, Tapas; Maiti, Dilip K.] Vidyasagar Univ, Dept Appl Math Oceanol &amp; Comp Programming, Midnapore 721102, West Bengal, India</t>
  </si>
  <si>
    <t>Roy, T (corresponding author), Vidyasagar Univ, Dept Appl Math Oceanol &amp; Comp Programming, Midnapore 721102, West Bengal, India.</t>
  </si>
  <si>
    <t>0378-4754</t>
  </si>
  <si>
    <t>1872-7166</t>
  </si>
  <si>
    <t>10.1016/j.matcom.2024.01.004</t>
  </si>
  <si>
    <t>Computer Science, Interdisciplinary Applications; Computer Science, Software Engineering; Mathematics, Applied</t>
  </si>
  <si>
    <t>Computer Science; Mathematics</t>
  </si>
  <si>
    <t>Dey, S; Pal, D; Singharoy, S; Das, S; Ghosh, D</t>
  </si>
  <si>
    <t>Dey, Sova; Pal, Dibya; Singharoy, Sajani; Das, Shibani; Ghosh, Debidas</t>
  </si>
  <si>
    <t>Hyperglycemic and oxidative stress management efficacies of hydro-methanol extract of Ipomoea mauritiana (Jacq.) root tuber in streptozotocin (STZ) induced diabetic male rats: Dose selection study</t>
  </si>
  <si>
    <t>JOURNAL OF RESEARCH IN PHARMACY</t>
  </si>
  <si>
    <t>Ipomoea mauritiana (Jacq.); Anti-diabetic; Oxidative stress; Hexokinase; Pancreatic islet</t>
  </si>
  <si>
    <t>GLUCOSE-6-PHOSPHATASE</t>
  </si>
  <si>
    <t>Diabetes mellitus needs efficient therapeutic strategies with nominal undesirable effects. This comparative dose-dependent study aimed to search out the hyperglycemic and oxidative stress corrective efficacies of hydro- methanol (60:40) extract of root tuber of Ipomoea mauritiana (Jacq.) (IMHME) in streptozotocin (STZ)-induced diabetic male rats. The in-vivo study has been designed to identify the most potent dose for such therapeutic outcomes. Single dose of STZ (4 mg/100 g body weight (BW)) was administered intramuscularly in rats to induce diabetes. Subsequently, rats were allowed for treatment at doses of 5, 10, 20, and 30 mg per 100 g BW of the IMHME for 4 weeks. Blood glucose level in fasting, insulin level, and activities of glucose-6-phosphatase, hexokinase, catalase, and superoxide dismutase were assessed to interpret the hypoglycemic and anti-oxidative properties of IMHME. The IMHME demonstrated a dose-dependent increase in insulin level with a concomitant decrease in fasting blood glucose level and rectification of said enzyme activities. Additionally, IMHME revealed potent anti-oxidative effects, as evidenced by a significant correction in oxidative metabolic biomarkers, i.e., thiobarbituric acid reactive substances, along with increase in pancreatic islet diameter. The outcome of this comparative dose-dependent investigation focused on the 10 mg dose of IMHME, which has the optimal therapeutic efficacy in improving diabetes by mitigating oxidative stress. No significant difference was noted among the groups under the treatment of 10, 20, and 30 mg doses. The promising results form the basis for exploration of the underlying mechanism and the translation of this into clinical research.</t>
  </si>
  <si>
    <t>[Dey, Sova; Singharoy, Sajani; Das, Shibani; Ghosh, Debidas] Vidyasagar Univ, Dept Biomed Lab Sci &amp; Management, Mol Med Nutrigen &amp; Publ Hlth Res Lab, Midnapore, India</t>
  </si>
  <si>
    <t>Ghosh, D (corresponding author), Vidyasagar Univ, Dept Biomed Lab Sci &amp; Management, Mol Med Nutrigen &amp; Publ Hlth Res Lab, Midnapore, India.</t>
  </si>
  <si>
    <t>MARMARA UNIV, FAC PHARMACY</t>
  </si>
  <si>
    <t>ISTANBUL</t>
  </si>
  <si>
    <t>Recep Tayyip Erdogan Campus, Basibuyuk 4/A, Maltepe, ISTANBUL, 34854, TURKIYE</t>
  </si>
  <si>
    <t>2630-6344</t>
  </si>
  <si>
    <t>10.29228/jrp.884</t>
  </si>
  <si>
    <t>Das, Seba; Dey, Arindam; Maji, Shilpa; Sahoo, Asim; Barman, Ananya; Santra, Sourav; Mondal, Subhadeep; Mondal, Keshab Chandra; Chattopadhyay, Sandip</t>
  </si>
  <si>
    <t>Attenuation of fluoride-induced hepatorenal oxidative stress by ferulic acid in vivo: An approach with in-silico analysis and interaction informatics of ferulic acid</t>
  </si>
  <si>
    <t>JOURNAL OF TRACE ELEMENTS IN MEDICINE AND BIOLOGY</t>
  </si>
  <si>
    <t>[Das, Seba; Sahoo, Asim; Mondal, Subhadeep; Chattopadhyay, Sandip] Vidyasagar Univ, Ctr Life Sci, Midnapore 721102, W Bengal, India; [Dey, Arindam; Maji, Shilpa; Barman, Ananya; Chattopadhyay, Sandip] Vidyasagar Univ, Dept Biomed Lab Sci &amp; Management &amp; Clin Nutr, Midnapore 721102, W Bengal, India; [Dey, Arindam; Maji, Shilpa; Barman, Ananya; Chattopadhyay, Sandip] Vidyasagar Univ, UGC Innovat Dept, Dietet Div, Midnapore 721102, W Bengal, India; [Santra, Sourav; Mondal, Keshab Chandra] Vidyasagar Univ, Dept Microbiol, Midnapore 721102, W Bengal, India; [Chattopadhyay, Sandip] Vidyasagar Univ, Dept Biomed Lab Sci &amp; Management &amp; Clin Nutr, Midnapore, India; [Chattopadhyay, Sandip] Vidyasagar Univ, UGC Innovat Dept, Dietet Div, Midnapore, India</t>
  </si>
  <si>
    <t>Vidyasagar University; Vidyasagar University; Vidyasagar University; Vidyasagar University; Vidyasagar University; Vidyasagar University</t>
  </si>
  <si>
    <t>Chattopadhyay, S (corresponding author), Vidyasagar Univ, Dept Biomed Lab Sci &amp; Management &amp; Clin Nutr, Midnapore, India.;Chattopadhyay, S (corresponding author), Vidyasagar Univ, UGC Innovat Dept, Dietet Div, Midnapore, India.</t>
  </si>
  <si>
    <t>ELSEVIER GMBH</t>
  </si>
  <si>
    <t>MUNICH</t>
  </si>
  <si>
    <t>HACKERBRUCKE 6, 80335 MUNICH, GERMANY</t>
  </si>
  <si>
    <t>0946-672X</t>
  </si>
  <si>
    <t>1878-3252</t>
  </si>
  <si>
    <t>10.1016/j.jtemb.2023.127133</t>
  </si>
  <si>
    <t>Biochemistry &amp; Molecular Biology; Endocrinology &amp; Metabolism</t>
  </si>
  <si>
    <t>HYPER-CONNECTIVITY INDEX FOR FUZZY GRAPH WITH APPLICATION</t>
  </si>
  <si>
    <t>Identifying Cryptocurrencies as Diversifying Assets and Safe Haven in the Indian Stock Market</t>
  </si>
  <si>
    <t>Stock Market; Cryptocurrency; Wavelet Coherence; Co-movement; Diversification; Safe Haven; G01; O16; P34</t>
  </si>
  <si>
    <t>BITCOIN; EXCHANGE</t>
  </si>
  <si>
    <t>This study investigates the interconnectedness between cryptocurrency and the Indian stock market and explores the diversification, hedge, and safe haven potential of cryptocurrency. The study employs the wavelet approach on daily data from October 6, 2017, to October 5, 2022, to execute the empirical analysis. The findings confirm that, in a healthy economic environment, cryptocurrencies are not connected with the Indian stock market. However, during times of financial turmoil, Bitcoin, Ethereum, and Cardano are positively correlated with the stock market. Additionally, the study identifies Bitcoin, Ethereum, Dogecoin, and Cardano as competent in providing diversification, or hedge opportunities in normal economic situations. But during periods of financial stress, only Dogecoin may act as a safe haven asset. This is the first study to explore the time-varying correlations and causal dependencies between the stock and cryptocurrency markets in India using the wavelet approach. It extends the literature in finance by examining both normal and economic turmoil periods, providing insights for portfolio managers, policymakers, and investors on how to manage their portfolios during these periods.</t>
  </si>
  <si>
    <t>[Jana, Susovon; Sahu, Tarak Nath] Vidyasagar Univ, Dept Business Adm, Midnapore 721102, West Bengal, India</t>
  </si>
  <si>
    <t>10.1007/s10690-023-09436-5</t>
  </si>
  <si>
    <t>Broad spectrum bioactivity of a novel β-glucan rich heteropolysaccharide, Pestalopine isolated from endophytic fungi Pestalotiopsis chamaeropsis CEL6</t>
  </si>
  <si>
    <t>ARCHIVES OF MICROBIOLOGY</t>
  </si>
  <si>
    <t>[Santra, Hiran Kanti; Banerjee, Debdulal] Vidyasagar Univ, Dept Bot &amp; Forestry, Microbiol &amp; Microbial Biotechnol Lab, Midnapore 721102, W Bengal, India; [Banerjee, Debdulal] Vidyasagar Univ, Ctr Life Sci, Midnapore 721102, W Bengal, India</t>
  </si>
  <si>
    <t>0302-8933</t>
  </si>
  <si>
    <t>1432-072X</t>
  </si>
  <si>
    <t>10.1007/s00203-023-03620-x</t>
  </si>
  <si>
    <t>Green Submitted</t>
  </si>
  <si>
    <t>Green academia: Towards eco-friendly education systems</t>
  </si>
  <si>
    <t>JOURNAL OF POSTCOLONIAL WRITING</t>
  </si>
  <si>
    <t>1744-9855</t>
  </si>
  <si>
    <t>1744-9863</t>
  </si>
  <si>
    <t>10.1080/17449855.2023.2199532</t>
  </si>
  <si>
    <t>Das, Kousik; Das Chatterjee, Nilanjana; Jana, Debarati; Bhattacharya, Raj Kumar</t>
  </si>
  <si>
    <t>Application of land-use regression model with regularization algorithm to assess PM2.5 and PM10 concentration and health risk in Kolkata Metropolitan</t>
  </si>
  <si>
    <t>URBAN CLIMATE</t>
  </si>
  <si>
    <t>[Das, Kousik; Das Chatterjee, Nilanjana; Bhattacharya, Raj Kumar] Vidyasagar Univ, Dept Geog, Midnapore, W Bengal, India; [Jana, Debarati] Vidyasagar Univ, Dept Human Physiol, Midnapore, W Bengal, India</t>
  </si>
  <si>
    <t>Das Chatterjee, N (corresponding author), Vidyasagar Univ, Dept Geog, Midnapore, W Bengal, India.</t>
  </si>
  <si>
    <t>2212-0955</t>
  </si>
  <si>
    <t>URBAN CLIM</t>
  </si>
  <si>
    <t>Urban CLim.</t>
  </si>
  <si>
    <t>10.1016/j.uclim.2023.101473</t>
  </si>
  <si>
    <t>Environmental Sciences; Meteorology &amp; Atmospheric Sciences</t>
  </si>
  <si>
    <t>Environmental Sciences &amp; Ecology; Meteorology &amp; Atmospheric Sciences</t>
  </si>
  <si>
    <t>Fuzzy tree covering number for fuzzy graphs with its real-life application in electricity distribution system</t>
  </si>
  <si>
    <t>SADHANA-ACADEMY PROCEEDINGS IN ENGINEERING SCIENCES</t>
  </si>
  <si>
    <t>0256-2499</t>
  </si>
  <si>
    <t>0973-7677</t>
  </si>
  <si>
    <t>SADHANA-ACAD P ENG S</t>
  </si>
  <si>
    <t>Sadhana-Acad. Proc. Eng. Sci.</t>
  </si>
  <si>
    <t>10.1007/s12046-022-01998-w</t>
  </si>
  <si>
    <t>Connectivity Concepts in Bipolar Fuzzy Incidence Graphs</t>
  </si>
  <si>
    <t>THAI JOURNAL OF MATHEMATICS</t>
  </si>
  <si>
    <t>[Poulik, Soumitra; Ghorai, Ganesh] Vidyasagar Univ, Dept Appl Math Oceanol &amp; Comp Programming, Midnapore 721102, India</t>
  </si>
  <si>
    <t>CHIANG MAI UNIV, FAC SCIENCE</t>
  </si>
  <si>
    <t>CHIANG MAI</t>
  </si>
  <si>
    <t>239 HUAY KAEW RD, T SUTHEP, CHIANG MAI, 50200, THAILAND</t>
  </si>
  <si>
    <t>1686-0209</t>
  </si>
  <si>
    <t>THAI J MATH</t>
  </si>
  <si>
    <t>Thai J. Math.</t>
  </si>
  <si>
    <t>Mukherjee, Srirupa</t>
  </si>
  <si>
    <t>Dalit Feminist Theory: A Reader</t>
  </si>
  <si>
    <t>[Mukherjee, Srirupa] Vidyasagar Univ, Dept Womens Studies, Midnapore, W Bengal, India</t>
  </si>
  <si>
    <t>Mukherjee, S (corresponding author), Vidyasagar Univ, Dept Womens Studies, Midnapore, W Bengal, India.</t>
  </si>
  <si>
    <t>1_SUPPL</t>
  </si>
  <si>
    <t>10.1177/2455328X221115590</t>
  </si>
  <si>
    <t>10.1007/s00500-077-07346-8</t>
  </si>
  <si>
    <t>Midya, DK; Islam, MM</t>
  </si>
  <si>
    <t>Midya, Dipak K.; Islam, Md Mohidul</t>
  </si>
  <si>
    <t>Gender Discrimination in Education among the Muslims: A Case Study in an Indian Village for Identifying the Key Factors</t>
  </si>
  <si>
    <t>Education; Muslim women; gender discrimination; conservativeness; early marriage</t>
  </si>
  <si>
    <t>Gender discrimination is more frequent among the ethnic minorities in the domain of education. This study among the Muslims in India shows that the Muslims always lag behind the Hindus in literacy rate and there is widening gap between literacy rates of men and women. With particular reference to a bi-ethnic village, it further reveals that discrimination generates from the socio-economic context of a particular community and that the Muslim women are experiencing discrimination in education due to their parents' poor economic condition, lack of awareness, conservativeness, feeling of social insecurity of their girls, and their early marriage.</t>
  </si>
  <si>
    <t>[Midya, Dipak K.; Islam, Md Mohidul] Vidyasagar Univ, Dept Anthropol, Midnapore 721102, India</t>
  </si>
  <si>
    <t>Midya, DK (corresponding author), Vidyasagar Univ, Dept Anthropol, Midnapore 721102, India.</t>
  </si>
  <si>
    <t>10.1177/00219096221106079</t>
  </si>
  <si>
    <t>Mondal, Subhadeep; Santra, Sourav; Uddin, Hilal; Pal, Kalyanbrata; Halder, Suman Kumar; Chattopadhyay, Sandip; Mondal, Keshab Chandra</t>
  </si>
  <si>
    <t>Application of Phytochemicals To Combat Fungal Pathogens of Pulses: An Approach toward Inhibition of Fungal Propagation and Invasin Activity</t>
  </si>
  <si>
    <t>JOURNAL OF AGRICULTURAL AND FOOD CHEMISTRY</t>
  </si>
  <si>
    <t>[Mondal, Subhadeep; Uddin, Hilal] Vidyasagar Univ, Ctr Life Sci, Midnapore 721102, W Bengal, India; [Santra, Sourav; Pal, Kalyanbrata; Halder, Suman Kumar; Mondal, Keshab Chandra] Vidyasagar Univ, Dept Microbiol, Midnapore 721102, W Bengal, India; [Santra, Sourav; Pal, Kalyanbrata; Halder, Suman Kumar; Chattopadhyay, Sandip] Vidyasagar Univ, Lab Sci &amp; Management, Dept Biomed, Midnapore 721102, W Bengal, India</t>
  </si>
  <si>
    <t>Mondal, KC (corresponding author), Vidyasagar Univ, Dept Microbiol, Midnapore 721102, W Bengal, India.</t>
  </si>
  <si>
    <t>0021-8561</t>
  </si>
  <si>
    <t>1520-5118</t>
  </si>
  <si>
    <t>10.1021/acs.jafc.1c07729</t>
  </si>
  <si>
    <t>Agriculture, Multidisciplinary; Chemistry, Applied; Food Science &amp; Technology</t>
  </si>
  <si>
    <t>Agriculture; Chemistry; Food Science &amp; Technology</t>
  </si>
  <si>
    <t>A multi-objective transportation problem with cost dependent credit period policy under Gaussian fuzzy environment</t>
  </si>
  <si>
    <t>OPERATIONAL RESEARCH</t>
  </si>
  <si>
    <t>1109-2858</t>
  </si>
  <si>
    <t>1866-1505</t>
  </si>
  <si>
    <t>OPER RES-GER</t>
  </si>
  <si>
    <t>Oper. Res.</t>
  </si>
  <si>
    <t>10.1007/s12351-022-00691-4</t>
  </si>
  <si>
    <t>Pareek, Ritu; Sahu, Tarak Nath</t>
  </si>
  <si>
    <t>How far the ownership structure is relevant for CSR performance? An empirical investigation</t>
  </si>
  <si>
    <t>CORPORATE GOVERNANCE-THE INTERNATIONAL JOURNAL OF BUSINESS IN SOCIETY</t>
  </si>
  <si>
    <t>[Pareek, Ritu; Sahu, Tarak Nath] Vidyasagar Univ, Dept Commerce, Midnapore, India</t>
  </si>
  <si>
    <t>Sahu, TN (corresponding author), Vidyasagar Univ, Dept Commerce, Midnapore, India.</t>
  </si>
  <si>
    <t>1472-0701</t>
  </si>
  <si>
    <t>1758-6054</t>
  </si>
  <si>
    <t>10.1108/CG-10-2020-0461</t>
  </si>
  <si>
    <t>Covering of fuzzy graphs and its application in emergency aircraft landing using particle swarm optimization method</t>
  </si>
  <si>
    <t>Graph theory; Fuzzy graph; Covering problem; Particle Swarm Optimization; Facility location problem</t>
  </si>
  <si>
    <t>NONCOOPERATIVE FACILITY LOCATION</t>
  </si>
  <si>
    <t>In graph theory, a set consisting of vertices of a graph that are incident to at least one of the edges is called a vertex covering set for that fuzzy graph. Facility location problems are represented as fuzzy graphs, and a model is designed with multi-objective optimization programming problems. These problems are solved using the Particle Swarm Optimization approach combined with the covering concept of fuzzy graphs. An algorithm is designed for finding fuzzy vertex covering set of fuzzy graphs. The definitions of covering speed, covering time, and coverage impact for a fuzzy vertex cover are introduced and used to develop the model. This model uses a fuzzy graph with vertices as demand and facility nodes. In case of a sudden change in the total demand of the system, there is a change in the fuzzy covering radius or capacity of facility nodes. The problem is to cover up the fuzzy network by placing facilities with maximizing demand and optimizing unknown fuzzy parameters. These studies solve a real-life problem: emergency aircraft landing with minimum time and nearest landing place. Also, the method minimizes the loss of aircraft and passengers. The proposed methodology is a new approach to solving such complex problems.</t>
  </si>
  <si>
    <t>[Bhattacharya, Anushree; Pal, Madhumangal] Vidyasagar Univ, Dept Appl Math Oceanol &amp; Comp Programming, Midnapore 721102, WB, India</t>
  </si>
  <si>
    <t>Pal, M (corresponding author), Vidyasagar Univ, Dept Appl Math Oceanol &amp; Comp Programming, Midnapore 721102, WB, India.</t>
  </si>
  <si>
    <t>10.1016/j.asoc.2024.112035</t>
  </si>
  <si>
    <t>A wavelet analysis of investing in cryptocurrencies in the Indian stock market</t>
  </si>
  <si>
    <t>Wavelet analysis; Cryptocurrency; Stock market; Safe haven; Hedge; O16; G01; C19</t>
  </si>
  <si>
    <t>IMPULSE-RESPONSE ANALYSIS; SAFE-HAVEN PROPERTIES; EFFICIENT TESTS; BITCOIN; PRICES; HEDGE; CONNECTEDNESS; EXCHANGE; COVID-19; BONDS</t>
  </si>
  <si>
    <t>PurposeThis study is designed to examine the dynamic interrelationships between four cryptocurrencies (Bitcoin, Ethereum, Dogecoin and Cardano) and the Indian equity market. Additionally, the study seeks to investigate the potential safe haven, hedge and diversification uses of these digital currencies within the Indian equity market.Design/methodology/approachThis study employs the wavelet approach to examine the time-varying volatility of the studied assets and the lead-lag relationship between stocks and cryptocurrencies. The authors execute the entire analysis using daily data from 1st October 2017 to 30th September 2023.FindingsThe result of the study shows that financial distress due to the pandemic and the Russian invasion of Ukraine have a negative effect on the Indian equities and cryptocurrency markets, escalating their price volatility. Also, the connectedness between the returns of stock and digital currency exhibits a strong positive relationship during periods of financial distress. Additionally, cryptocurrencies serve as a tool of diversification or hedging in the Indian equities markets during normal financial circumstances, but they do not serve as a diversifier or safe haven during periods of financial turmoil.Originality/valueThis study contributes to understanding the relationship between the Indian equity market and four cryptocurrencies using wavelet techniques in the time and frequency domains, considering both normal and crisis times. This can offer valuable insights into the potential of cryptocurrencies inside the Indian equities markets, mainly with respect to varying financial conditions and investment horizons.</t>
  </si>
  <si>
    <t>10.1108/IJOEM-05-2023-0698</t>
  </si>
  <si>
    <t>East-West relationship and the Anglo-Indian disorder: Locating (post)colonial disability in Rudyard Kipling's short stories</t>
  </si>
  <si>
    <t>AGATHOS-AN INTERNATIONAL REVIEW OF THE HUMANITIES AND SOCIAL SCIENCES</t>
  </si>
  <si>
    <t>British Empire; colonial desire; disorder; disability; Rudyard Kipling</t>
  </si>
  <si>
    <t>This article examines representations of desire, disorder, and disability in Rudyard Kipling 's stor ies. Using the theoretical framework of postcolonial disability, this article offers a close textual analysis of stories titled 'Yoked with an Unbeliever' , 'In the Pride of His Youth' , and 'Beyond the Pale'. The analysis points to the psychological conflicts formed within the colonial desire and colonizing subjects that made them suffer from the disease, dysfunctional behaviours, and madness. One of the central foci of this article is to locate the physical and psychopathological disabilities as represented in these stories. This study not only points at the fallibility of the rhetoric of empire but also attempts to understand the ideologies of the British Raj. I argue that whereas the orientalist discourse defines the colonized space as weak, diseased, and lacking sanity, the colonists in India are represented as highly prone to disease, sickness, and disability in many ways. The discussion also reveals that the colonial enterprise has been harboring an unmethodical system that deliberately dehumanizes the colonists living in the colonies.</t>
  </si>
  <si>
    <t>[Maity, Abhijit] Vidyasagar Univ, Mahishadal Girls Coll, Dept English, Midnapore, West Bengal, India</t>
  </si>
  <si>
    <t>Maity, A (corresponding author), Vidyasagar Univ, Mahishadal Girls Coll, Dept English, Midnapore, West Bengal, India.</t>
  </si>
  <si>
    <t>ALEXANDRU IOAN CUZA UNIV IASI FAC PHILOSOPHY &amp; SOCIAL-POLITICAL SCIENCES</t>
  </si>
  <si>
    <t>IASI</t>
  </si>
  <si>
    <t>11, CAROL I BOULEVARD, IASI, 700506, ROMANIA</t>
  </si>
  <si>
    <t>2069-1025</t>
  </si>
  <si>
    <t>2248-3446</t>
  </si>
  <si>
    <t>10.5281/zenodo.10968329</t>
  </si>
  <si>
    <t>Humanities, Multidisciplinary</t>
  </si>
  <si>
    <t>Arts &amp; Humanities - Other Topics</t>
  </si>
  <si>
    <t>Multiplicative Version of First Zagreb Index in Fuzzy Graph and its Application in Crime Analysis</t>
  </si>
  <si>
    <t>PROCEEDINGS OF THE NATIONAL ACADEMY OF SCIENCES INDIA SECTION A-PHYSICAL SCIENCES</t>
  </si>
  <si>
    <t>Fuzzy graph; Topological indices; First Zagreb index; Multiplicative first Zagreb index</t>
  </si>
  <si>
    <t>TOPOLOGICAL INDEXES; MOLECULAR-ORBITALS; WIENER INDEX</t>
  </si>
  <si>
    <t>The multiplicative first Zagreb index is discussed in this paper and studied for fuzzy graphs. Bounds of this index are calculated for path, cycle, star, complete fuzzy graph, partial fuzzy subgraph, etc. For an isomorphic fuzzy graph, it is shown that the value of this index is the same. Some interesting relations are established among the first Zagreb index, F-index and multiplicative first Zagreb index for a fuzzy graph. The bounds of this index are studied for some fuzzy graph operations. Also, the crime of kidnapping and abduction in metropolitan cities in India is analyzed by this index. Significant Statement: Topological indices for a crisp graph have applications in real life. But sometimes, it is seen that most real-life problems cannot be modeled using crisp graphs. Also, laboratory testing of chemicals to understand their different properties are costly. To overcome this, many topological indices have been presented in theoretical chemistry. Those topological indices are needed to define for a fuzzy graph for these circumstances.</t>
  </si>
  <si>
    <t>NATL ACAD SCIENCES INDIA</t>
  </si>
  <si>
    <t>ALLAHABAD</t>
  </si>
  <si>
    <t>5 LAJPATRAI RD, ALLAHABAD 211002, INDIA</t>
  </si>
  <si>
    <t>0369-8203</t>
  </si>
  <si>
    <t>2250-1762</t>
  </si>
  <si>
    <t>10.1007/s40010-023-00868-2</t>
  </si>
  <si>
    <t>Ghosh, Shyamali; Roy, Sankar Kumar</t>
  </si>
  <si>
    <t>Closed-loop multi-objective waste management through vehicle routing problem in neutrosophic hesitant fuzzy environment</t>
  </si>
  <si>
    <t>[Ghosh, Shyamali; Roy, Sankar Kumar] Vidyasagar Univ, Dept Appl Math Oceanol &amp; Comp Programming, Midnapore 721102, W Bengal, India</t>
  </si>
  <si>
    <t>10.1016/j.asoc.2023.110854</t>
  </si>
  <si>
    <t>Jana, Tushar Kanti; Chatterjee, Kuntal</t>
  </si>
  <si>
    <t>Hybrid nanostructures exhibiting both photocatalytic and antibacterial activity-a review</t>
  </si>
  <si>
    <t>[Jana, Tushar Kanti; Chatterjee, Kuntal] Vidyasagar Univ, Dept Phys, Midnapore 721102, India</t>
  </si>
  <si>
    <t>Chatterjee, K (corresponding author), Vidyasagar Univ, Dept Phys, Midnapore 721102, India.</t>
  </si>
  <si>
    <t>10.1007/s11356-023-29015-5</t>
  </si>
  <si>
    <t>Identifying obstacles and opportunities of urbanization in the district primate town of Purulia, West Bengal</t>
  </si>
  <si>
    <t>GEOJOURNAL</t>
  </si>
  <si>
    <t>0343-2521</t>
  </si>
  <si>
    <t>1572-9893</t>
  </si>
  <si>
    <t>GeoJournal</t>
  </si>
  <si>
    <t>10.1007/s10708-023-10878-7</t>
  </si>
  <si>
    <t>Khan, Meheboob; Das, Siddhartha; Roy, Aparna; Roy, Sumita</t>
  </si>
  <si>
    <t>Reusable Sugar-Based Gelator for Marine Oil-Spill Recovery and Waste Water Treatment</t>
  </si>
  <si>
    <t>[Khan, Meheboob; Das, Siddhartha; Roy, Aparna; Roy, Sumita] Vidyasagar Univ, Dept Chem &amp; Chem Technol, Paschim Medinipur 721102, India</t>
  </si>
  <si>
    <t>Roy, S (corresponding author), Vidyasagar Univ, Dept Chem &amp; Chem Technol, Paschim Medinipur 721102, India.</t>
  </si>
  <si>
    <t>10.1021/acs.langmuir.2c03204</t>
  </si>
  <si>
    <t>Urban growth Prediction for Sustainable Urban Management Using Markov Chain Model: A Study on Purulia Municipality, West Bengal, India</t>
  </si>
  <si>
    <t>JOURNAL OF THE INDIAN SOCIETY OF REMOTE SENSING</t>
  </si>
  <si>
    <t>[Shikary, Chumki; Rudra, Somnath] Vidyasagar Univ, Dept Geog, Midnapore, W Bengal, India</t>
  </si>
  <si>
    <t>0255-660X</t>
  </si>
  <si>
    <t>0974-3006</t>
  </si>
  <si>
    <t>J INDIAN SOC REMOTE</t>
  </si>
  <si>
    <t>J. Indian Soc. Remote Sens.</t>
  </si>
  <si>
    <t>10.1007/s12524-022-01596-7</t>
  </si>
  <si>
    <t>Bandyopadhyay, Sumahan</t>
  </si>
  <si>
    <t>Mal Paharia tribe and the problem of their identity in West Bengal, India</t>
  </si>
  <si>
    <t>ASIAN ETHNICITY</t>
  </si>
  <si>
    <t>[Bandyopadhyay, Sumahan] Vidyasagar Univ, Dept Anthropol, Midnapore 721102, W Bengal, India</t>
  </si>
  <si>
    <t>Bandyopadhyay, S (corresponding author), Vidyasagar Univ, Dept Anthropol, Midnapore 721102, W Bengal, India.</t>
  </si>
  <si>
    <t>1463-1369</t>
  </si>
  <si>
    <t>1469-2953</t>
  </si>
  <si>
    <t>10.1080/14631369.2020.1785274</t>
  </si>
  <si>
    <t>Ethnic Studies</t>
  </si>
  <si>
    <t>Sexuality and Gender Diversity Rights in Southeast Asia.</t>
  </si>
  <si>
    <t>Pati, M; Nandi, AK</t>
  </si>
  <si>
    <t>Pati, Maniklal; Nandi, Asis Kumar</t>
  </si>
  <si>
    <t>CHROMOSOMAL MORPHOMETRY AND KARYOTYPE OF Suaeda maritima (L.) Dumort. GROWING ALONG THE SOUTH-EAST COAST OF INDIA</t>
  </si>
  <si>
    <t>Chromosome morphometry; karyotype; Suaeda maritima</t>
  </si>
  <si>
    <t>CHENOPODIACEAE; POPULATIONS; INLAND</t>
  </si>
  <si>
    <t>Suaeda maritima (L.) Dumort., an annual halophyte herb belonging to the family Chenopodiaceae, grows gregariously along the Southeast coast of India. This salt marsh species is regularly used by locals as food and for curing many diseases. Earlier works reported the presence of phenotypic plasticity and morphoanatomical variations amongst the individuals of the species (Milic et al ., 2009). Cytological studies were undertaken to characterize the individuals of the species with respect to their karyotype. The diploid chromosome number of S. maritima was determined as 2n = 18 from the root tips of species. The average length of metaphase chromosomes was 0.74 +/- 0.16 mu m with total haploid chromosome length of 6.68 +/- 0.28 mu m. The average arm ratio was 1.13 +/- 0.14 with average centromeric index of 0.46 +/- 0.12. All the 9 pairs of chromosomes were metacentric and out of 18 chromosomes 4 chromosomes contained NOR. The values of symmetry index (S%) and the degree of karyotype asymmetry was 51.51 +/- 3.05 and 0.05 +/- 0.01, respectively. Intra-chromosomal asymmetry index and inter-chromosomal asymmetry index were 0.10 +/- 0.02 and 0.22 +/- 0.02, respectively.</t>
  </si>
  <si>
    <t>[Pati, Maniklal] Egra SSB Coll, Dept Bot, Purba Medinipur 721429, W Bengal, India; [Nandi, Asis Kumar] Vidyasagar Univ, Dept Bot &amp; Forestry, Medinipur 721102, W Bengal, India</t>
  </si>
  <si>
    <t>Nandi, AK (corresponding author), Vidyasagar Univ, Dept Bot &amp; Forestry, Medinipur 721102, W Bengal, India.</t>
  </si>
  <si>
    <t>10.48165/abr.2024.26.01.49</t>
  </si>
  <si>
    <t>Maity, S; Sinha, A</t>
  </si>
  <si>
    <t>Maity, Shrabanti; Sinha, Anup</t>
  </si>
  <si>
    <t>Disparities in achieving SDG goal of 'no poverty' for developing countries: technical efficiency estimates across Asian, African and American nations</t>
  </si>
  <si>
    <t>INTERNATIONAL JOURNAL OF SUSTAINABLE DEVELOPMENT AND WORLD ECOLOGY</t>
  </si>
  <si>
    <t>Sustainable development goals; No poverty; developing nations; Stochastic frontier analysis; corruption; CO2 emission</t>
  </si>
  <si>
    <t>DETERMINANTS</t>
  </si>
  <si>
    <t>Globally, people acknowledge poverty as the greatest tragedy in human history, a serious threat to sustainable living, and a barrier to the development of human capital. Realising the importance of lowering global poverty, the United Nations incorporated 'End poverty in all its forms everywhere' as the first of the 17 SDGs for Sustainable Development. This background motivates us to look into how different lower-middle- or lower-income countries are achieving the first SDG goal. Consequently, the study primarily investigates the efficiency of 43 lower middle- or lower-income countries in Asia, Africa, and America in reaching the SDG goal of 'No poverty' by using the Stochastic Production Frontier from 2019 to 2020. Concurrently, the analysis pinpoints the causes of the nation's inefficiency in accomplishing that objective. According to the study's findings the Korea Republic is the most efficient nation at reaching the objective of 'No poverty.' Guinea is the least efficient. In conjunction with inefficiency issues, the analysis demonstrates that rising CO2 emissions paradoxically promote efficiency in the battle against poverty; conversely, rising corruption increases inefficiency. Conflict significantly impedes any constructive goal, such as poverty reduction. Corruption and intentional homicides serve as proxy indicators of conflict in this context. A rise in conflict variables reduces the nation's efficacy in lowering poverty rates. The article ends by outlining future research goals and making pertinent policy recommendations.</t>
  </si>
  <si>
    <t>[Maity, Shrabanti] Vidyasagar Univ, Dept Econ, Midnapore 721102, W Bengal, India; [Sinha, Anup] Karimganj Coll, Dept Commerce, Karimganj, Assam, India</t>
  </si>
  <si>
    <t>1350-4509</t>
  </si>
  <si>
    <t>1745-2627</t>
  </si>
  <si>
    <t>10.1080/13504509.2024.2377247</t>
  </si>
  <si>
    <t>Green &amp; Sustainable Science &amp; Technology; Ecology</t>
  </si>
  <si>
    <t>Das, A; Jana, G; Sing, S; Basu, A</t>
  </si>
  <si>
    <t>Das, Arindam; Jana, Gouranga; Sing, Shukdeb; Basu, Anirban</t>
  </si>
  <si>
    <t>Insights into the interaction and inhibitory action of palmatine on lysozyme fibrillogenesis: Spectroscopic and computational studies</t>
  </si>
  <si>
    <t>Palmatine; Lysozyme; Fibrillation</t>
  </si>
  <si>
    <t>PROTEIN SECONDARY STRUCTURE; EGG-WHITE LYSOZYME; HUMAN SERUM-ALBUMIN; AMYLOID FIBRILLATION; TRYPTOPHAN FLUORESCENCE; ANTIMICROBIAL ACTIVITY; BINDING-SITE; HEN LYSOZYME; CONGO RED; AZO DYES</t>
  </si>
  <si>
    <t>Interaction under amyloidogenic condition between naturally occurring protoberberine alkaloid palmatine and hen egg white lysozyme was executed by adopting spectrofluorometric and theoretical molecular docking and dynamic simulation analysis. In spetrofluorometric method, different types of experiments were performed to explore the overall mode and mechanism of interaction. Intrinsic fluorescence quenching of lysozyme (Trp residues) by palmatine showed effective binding interaction and also yielded different binding parameters like binding constant, quenching constant and number of binding sites. Synchronous fluorescence quenching and 3D fluorescence map revealed that palmatine was able to change the microenvironment of the interacting site. Fluorescence life time measurements strongly suggested that this interaction was basically static in nature. Molecular docking result matched with fluorimetric experimental data. Efficient drug like interaction of palmatine with lysozyme at low pH and high salt concentration prompted us to analyze its antifibrillation potential. Different assays and microscopic techniques were employed for detailed analysis of lysozyme amyloidosis.Thioflavin T(ThT) assay, Congo Red (CR) assay, 8-anilino-1-naphthalenesulfonic acid (ANS) assay, Nile Red (NR) assay, anisotropy and intrinsic fluorescence measurements confirmed that palmatine successfully retarded and reduced lysozyme fibrillation. Dynamic light scattering (DLS) and atomic force microscopy (AFM) further reiterated the excellent antiamyloidogenic potency of palmatine.</t>
  </si>
  <si>
    <t>[Das, Arindam; Jana, Gouranga; Sing, Shukdeb; Basu, Anirban] Vidyasagar Univ, Dept Chem &amp; Chem Technol, Midnapore 721102, India</t>
  </si>
  <si>
    <t>Basu, A (corresponding author), Vidyasagar Univ, Dept Chem &amp; Chem Technol, Midnapore 721102, India.</t>
  </si>
  <si>
    <t>10.1016/j.ijbiomac.2024.131703</t>
  </si>
  <si>
    <t>Das, M; Bhattacharyya, A; Maity, S</t>
  </si>
  <si>
    <t>Das, Moumita; Bhattacharyya, Asmita; Maity, Shrabanti</t>
  </si>
  <si>
    <t>Living Standard Index for the Older Adults: An Indian Peri-urban Study</t>
  </si>
  <si>
    <t>AGEING INTERNATIONAL</t>
  </si>
  <si>
    <t>Living standard Index (LSI); Older adults; Non-economic social factors; Well-being</t>
  </si>
  <si>
    <t>Traditionally, the well-being and living standards of an individual were measured by the Gross Domestic Product (GDP). Later, a gradual shift was noticed from economic to socio-economic measures leading to prioritization of the Human Development Index (HDI). However, to overcome certain limitations in the HDI, a detailed analysis of its sub-indices is necessitated. Thus, the contextualization of Living Standards (LS) one of the sub-factors of HDI may be introduced applied to broaden the domain of human well-being. Since then, living standards have expanded from economic indicators to that of non-econometric factors such as family concern, occupational status, personality etc. Despite this, there is hardly any indicator measuring the Living Standard Index (LSI) in the Indian context, especially for the older adults in India. Here, the study is conducted amongst 390 older adults' respondents of a peri-urban region of India through a multi-stage cluster sampling. This study outcome reveals that the LSI of the Indian older adults is dependent on the region-specific amenities, their age-groups, and living arrangement within their proximate networked members. Thus, the LSI may be influential in implementing policies for the older adults in the Indian context and that may be replicated across the globe.</t>
  </si>
  <si>
    <t>[Das, Moumita] Adamas Univ, Sch Liberal Arts &amp; Culture Studies, Dept Sociol, Kolkata 700126, India; [Das, Moumita; Bhattacharyya, Asmita] Vidyasagar Univ, Dept Sociol, Midnapore 721102, India; [Maity, Shrabanti] Vidyasagar Univ, Dept Econ, Midnapore 721102, India</t>
  </si>
  <si>
    <t>Bhattacharyya, A (corresponding author), Vidyasagar Univ, Dept Sociol, Midnapore 721102, India.</t>
  </si>
  <si>
    <t>0163-5158</t>
  </si>
  <si>
    <t>1936-606X</t>
  </si>
  <si>
    <t>10.1007/s12126-023-09532-x</t>
  </si>
  <si>
    <t>Gerontology</t>
  </si>
  <si>
    <t>Geriatrics &amp; Gerontology</t>
  </si>
  <si>
    <t>Kundu, Moumita; Zafor, Abu; Maiti, Ramakrishna</t>
  </si>
  <si>
    <t>Assessing the nature of potential groundwater zones through machine learning (ML) algorithm in tropical plateau region, West Bengal, India</t>
  </si>
  <si>
    <t>ACTA GEOPHYSICA</t>
  </si>
  <si>
    <t>[Kundu, Moumita] Vidyasagar Univ, Dept Geog, Midnapore, Midnapore, West Bengal, India; [Zafor, Abu] Univ Sci &amp; Technol, Dept Civil Engn, Bangladesh Army Int, Cumilla, Bangladesh; [Maiti, Ramakrishna] Vidyasagar Univ, Dept Geog, Midnapore, West Bengal, India</t>
  </si>
  <si>
    <t>Kundu, M (corresponding author), Vidyasagar Univ, Dept Geog, Midnapore, Midnapore, West Bengal, India.</t>
  </si>
  <si>
    <t>SPRINGER INT PUBL AG</t>
  </si>
  <si>
    <t>CHAM</t>
  </si>
  <si>
    <t>GEWERBESTRASSE 11, CHAM, CH-6330, SWITZERLAND</t>
  </si>
  <si>
    <t>1895-6572</t>
  </si>
  <si>
    <t>1895-7455</t>
  </si>
  <si>
    <t>10.1007/s11600-023-01042-3</t>
  </si>
  <si>
    <t>Geochemistry &amp; Geophysics</t>
  </si>
  <si>
    <t>Mahapatra, Rupkumar; Samanta, Sovan; Pal, Madhumangal</t>
  </si>
  <si>
    <t>Edge Colouring of Neutrosophic Graphs and Its Application in Detection of Phishing Website</t>
  </si>
  <si>
    <t>DISCRETE DYNAMICS IN NATURE AND SOCIETY</t>
  </si>
  <si>
    <t>LINK PREDICTION; FUZZY</t>
  </si>
  <si>
    <t>[Mahapatra, Rupkumar; Pal, Madhumangal] Vidyasagar Univ, Dept Appl Math Oceanol &amp; Comp Programming, Midnapore 721102, India; [Samanta, Sovan] Tamralipta Mahavidyalaya, Dept Math, Tamluk 721636, West Bengal, India</t>
  </si>
  <si>
    <t>Samanta, S (corresponding author), Tamralipta Mahavidyalaya, Dept Math, Tamluk 721636, West Bengal, India.</t>
  </si>
  <si>
    <t>HINDAWI LTD</t>
  </si>
  <si>
    <t>ADAM HOUSE, 3RD FLR, 1 FITZROY SQ, LONDON, W1T 5HF, ENGLAND</t>
  </si>
  <si>
    <t>1026-0226</t>
  </si>
  <si>
    <t>1607-887X</t>
  </si>
  <si>
    <t>DISCRETE DYN NAT SOC</t>
  </si>
  <si>
    <t>Discrete Dyn. Nat. Soc.</t>
  </si>
  <si>
    <t>10.1155/2022/1149724</t>
  </si>
  <si>
    <t>Mathematics, Interdisciplinary Applications; Multidisciplinary Sciences</t>
  </si>
  <si>
    <t>Mathematics; Science &amp; Technology - Other Topics</t>
  </si>
  <si>
    <t>Chemistry, Multidisciplinary</t>
  </si>
  <si>
    <t>Chemistry</t>
  </si>
  <si>
    <t>Barman, S; Routh, A; Rana, D; Mahata, U; Bal, A; Bhunia, A</t>
  </si>
  <si>
    <t>Barman, Subhajit; Routh, Arpita; Rana, Dayal; Mahata, Uttam; Bal, Abhinanda; Bhunia, Avishek</t>
  </si>
  <si>
    <t>Unveiling urban sprawl and sustainable growth: A Geospatial Analysis of Midnapore Kharagpur Development Authority (MKDA), India</t>
  </si>
  <si>
    <t>Urban sprawl; MKDA; Urban metrics; Sustainable urban growth; AUER; UEII &amp; UEDI; Concentric buffer ring</t>
  </si>
  <si>
    <t>SPATIOTEMPORAL DYNAMICS; GIS; EXPANSION; PATTERNS</t>
  </si>
  <si>
    <t>A retrospective perception of the spread and rate of urban growth is imperative for effectively managing urban sprawl. Due to its haphazard nature, urban sprawling usually constitutes one of the primary challenges to smart and sustainable urban growth. This study assesses existing trends as well as the future sprawling scenario of MKDA regions from 2001 to 2031. The spatio-temporal database is prepared from Landsat images for the years 2001, 2011,2021, and 2031 with the help of ArcGIS, QGIS, and MS-Excell. The results reveal that the study area has a noticeable rise in urban area from 14.42% in 2001 to 32.32% in 2021 and it would be 42.98% in the year 2031. The Average Annual Urban Expansion Rate (AUER) of the study region is considerably significance (6.08%) for the study period of 2001-2021. Urban sprawling is very fast in the Concentric Buffer Ring (CBR)-1 &amp; CBR-2 for the first two decades but it gradually decreases with the advancement of time. The result of other metrics analyses like the Urban Expansion Intensity Index (UEII), and Urban Expansion Development Index (UEDI) shows that the core regions are the focal point of urban growth for the first phase of the study, but it spiled towards the peripheral region in the last phase of the study periods with the high magnitude and rapid rate of sprawling in Northern, North-Western, Eastern and Western direction. Finally, potential strategies of action for the planned urban sprawling and sustainable management of the local environment have been put forth.</t>
  </si>
  <si>
    <t>[Barman, Subhajit; Mahata, Uttam; Bal, Abhinanda; Bhunia, Avishek] KD Coll Commerce &amp; Gen Studies, Dept Geog, Midnapore 721101, West Bengal, India; [Routh, Arpita] Vidyasagar Univ, Dept Geog &amp; Environm Management, Midnapore 721101, West Bengal, India; [Rana, Dayal] Vidyasagar Univ, Dept Remote Sensing &amp; GIS, Midnapore 721102, West Bengal, India</t>
  </si>
  <si>
    <t>Barman, S (corresponding author), KD Coll Commerce &amp; Gen Studies, Dept Geog, Midnapore 721101, West Bengal, India.</t>
  </si>
  <si>
    <t>10.1007/s10708-024-11112-8</t>
  </si>
  <si>
    <t>Linkages between gully erosion susceptibility and hydrological connectivity in Tropical sub-humid river basin: Application of Machine learning algorithms and Connectivity Index</t>
  </si>
  <si>
    <t>Land degradation; Sediment detachment; Gully susceptibility; Hydrological connectivity; Sustainable land uses policy</t>
  </si>
  <si>
    <t>EVIDENTIAL BELIEF FUNCTION; LAND-USE CHANGE; LANDSLIDE SUSCEPTIBILITY; LOGISTIC-REGRESSION; FEATURE-SELECTION; ENSEMBLE; SEDIMENT; REGION; PERFORMANCE; PREDICTION</t>
  </si>
  <si>
    <t>Hydrological connectivity from upslope to downslope of valley floor and main channel, triggered the gully initiation and associated land degradation continue occurring off-site erosion as considered most effective drivers on potential sediment detachment. Present study attempted to identify the linkage between gullies erosion susceptibility (GES) and hydrological connectivity pathway in sub-tropical humid river basin Kangsabati (KRB) using four machine-learning algorithms (MLALs) such as Random Forest (RF), Support Vector Machine (SVM), Extreme Gradient Boosting (XGB), Artificial Neural Network (ANN) for GES mapping, and connectivity index (IC) for hydrological connectivity mapping. Thirty-five controlling factors were selected using Boruta's approach produce GES mapping, while frequency ratio (FR) was applied to determine the significant role in each individual class of controlling factors on degree of gully susceptibility. To achieve the efficiency of using MLALs, AUC of ROC including sensitivity, specificity, accuracy, F, and Kappa index were employed to compare in each model. In testing datasets, AUC values reveals that RF (0.99) and XGB (0.99) were well performed and predicted to GES followed by ANN (0.97) and SVM (0.87). FR depicts the most contributing factors of barren land and laterite followed by rainfall erosivity, degraded forest, single crop, and elevation to GES. IC result showed that values range (-11.52 to 0.49) address the three connectivity categories i.e. not connected (NC), gully connected but reach (CNR), and gully well connected (WC). Correlation analysis clarified that double crop (R = 0.82), topographical wetted index (R = 0.77) and slope (R = 0.0.44) are prolonged WC for large downslope in north-western sub-basins of upper catchment and western, eastern sub-basins of lower catchment, while dense forest (R-0.71) and vegetation cover (R =-0.82) forms NC gullies and CNR to channel due to interrupted upslope central sub-basins of upper and lower catchment. Finally, research findings could provide to take strategy sustainable land uses policy.</t>
  </si>
  <si>
    <t>[Bhattacharya, Raj Kumar] Victoria Inst Coll, Dept Geog, 78B, Acharya Prafulla Chandra Rd, Kolkata 700009, India; [Das Chatterjee, Nilanjana; Das, Kousik] Vidyasagar Univ, Dept Geog, Midnapore 721102, W Bengal, India</t>
  </si>
  <si>
    <t>Bhattacharya, RK (corresponding author), Victoria Inst Coll, Dept Geog, 78B, Acharya Prafulla Chandra Rd, Kolkata 700009, India.;Das Chatterjee, N (corresponding author), Vidyasagar Univ, Dept Geog, Midnapore 721102, W Bengal, India.</t>
  </si>
  <si>
    <t>10.1016/j.catena.2024.108186</t>
  </si>
  <si>
    <t>Mondal, Subhadeep; Rakshit, Subham; Pal, Kalyanbrata; Santra, Sourav; Goswami, Debabrata; Mondal, Saswati Parua; Halder, Suman Kumar; Mondal, Keshab Chandra</t>
  </si>
  <si>
    <t>Production of glutathione from probiotic Bacillus amyloliquefaciens KMH10 using banana peel extract</t>
  </si>
  <si>
    <t>BIORESOURCE TECHNOLOGY</t>
  </si>
  <si>
    <t>[Mondal, Subhadeep; Rakshit, Subham] Vidyasagar Univ, Ctr Life Sci, Midnapore 721102, West Bengal, India; [Pal, Kalyanbrata; Santra, Sourav; Goswami, Debabrata; Halder, Suman Kumar; Mondal, Keshab Chandra] Vidyasagar Univ, Dept Microbiol, Midnapore 721102, West Bengal, India; [Mondal, Saswati Parua] Bajkul Milani Mahavidyalaya, Dept Physiol, Midnapore 721626, West Bengal, India</t>
  </si>
  <si>
    <t>0960-8524</t>
  </si>
  <si>
    <t>1873-2976</t>
  </si>
  <si>
    <t>BIORESOURCE TECHNOL</t>
  </si>
  <si>
    <t>Bioresour. Technol.</t>
  </si>
  <si>
    <t>10.1016/j.biortech.2023.128910</t>
  </si>
  <si>
    <t>Agricultural Engineering; Biotechnology &amp; Applied Microbiology; Energy &amp; Fuels</t>
  </si>
  <si>
    <t>Agriculture; Biotechnology &amp; Applied Microbiology; Energy &amp; Fuels</t>
  </si>
  <si>
    <t>Chakraborty, Chandrima; Pal, Dipyaman</t>
  </si>
  <si>
    <t>Gender Inequality and its Implications on Education and Health: A Global Perspective Introduction</t>
  </si>
  <si>
    <t>[Chakraborty, Chandrima] Vidyasagar Univ, Midnapore, W Bengal, India; [Pal, Dipyaman] Bethune Coll, Kolkata, W Bengal, India</t>
  </si>
  <si>
    <t>Chakraborty, C (corresponding author), Vidyasagar Univ, Midnapore, W Bengal, India.</t>
  </si>
  <si>
    <t>10.1108/978-1-83753-180-620231001</t>
  </si>
  <si>
    <t>Samanta, Shashanka Shekhar; Giri, Prabhat Kumar; Mudi, Naren; Mandal, Usha; Misra, Ajay</t>
  </si>
  <si>
    <t>Fluorescence 'Turn-on' Dual Sensor for Selective Detection of Cd2+ and H2AsO4- in Water</t>
  </si>
  <si>
    <t>JOURNAL OF FLUORESCENCE</t>
  </si>
  <si>
    <t>[Samanta, Shashanka Shekhar; Giri, Prabhat Kumar; Mudi, Naren; Mandal, Usha; Misra, Ajay] Vidyasagar Univ, Dept Chem, Midnapore 721102, West Bengal, India</t>
  </si>
  <si>
    <t>Misra, A (corresponding author), Vidyasagar Univ, Dept Chem, Midnapore 721102, West Bengal, India.</t>
  </si>
  <si>
    <t>SPRINGER/PLENUM PUBLISHERS</t>
  </si>
  <si>
    <t>233 SPRING ST, NEW YORK, NY 10013 USA</t>
  </si>
  <si>
    <t>1053-0509</t>
  </si>
  <si>
    <t>1573-4994</t>
  </si>
  <si>
    <t>J FLUORESC</t>
  </si>
  <si>
    <t>J. Fluoresc.</t>
  </si>
  <si>
    <t>10.1007/s10895-022-03091-1</t>
  </si>
  <si>
    <t>Biochemical Research Methods; Chemistry, Analytical; Chemistry, Physical</t>
  </si>
  <si>
    <t>Das, S; Mondal, UK</t>
  </si>
  <si>
    <t>Das, Sushovan; Mondal, Uttam Kr.</t>
  </si>
  <si>
    <t>Energy efficient acoustic sensor data integration in hybrid mode operated pervasive wireless sensor network</t>
  </si>
  <si>
    <t>TELECOMMUNICATION SYSTEMS</t>
  </si>
  <si>
    <t>Blockchain; Hash key; Acoustic signal; Energy efficiency</t>
  </si>
  <si>
    <t>SCHEME</t>
  </si>
  <si>
    <t>Pervasive Wireless Sensor Networks (PWSNs) are essential for collecting and transmitting real-time data from the physical world to various applications. Integrating blockchain technology with PWSNs enables decentralized data integration securely and immutably, although it requires energy-intensive computing processes. In this paper, the proposed model is designed to investigate the potential of blockchain technology to utilize acoustic signals in a pervasive acoustic wireless sensor network (PAWSN) to achieve energy efficiency. Considering the energy limitations of battery-operated sensor nodes, particularly acoustic sensors, and the energy consumption associated with blockchain technology, this study addresses these challenges by dividing the network into centralized and decentralized structures. In the proposed approach, acoustic sensor nodes operate within a centralized network structure, each assigned to a sensor zone with a central sink node. The sink nodes then participate in a decentralized network structure. To enhance energy efficiency, acoustic sensors in sensor zones are equipped with contextual information to minimize event listening. The primary objective of the proposed technique is to collect context-sensitive acoustic sensor data and integrate it into a decentralized blockchain while minimizing energy consumption at leaf nodes. The evaluation of the system architecture will employ blockchain technology, with a specific focus on leaf node energy efficiency (LNEN) as a primary performance metric. Analysis of experimental results reveals a substantial enhancement in energy efficiency, with LNEN approaching approximately 50% (LNEN approximate to 50%\documentclass[12pt]{minimal} \usepackage{amsmath} \usepackage{wasysym} \usepackage{amsfonts} \usepackage{amssymb} \usepackage{amsbsy} \usepackage{mathrsfs} \usepackage{upgreek} \setlength{\oddsidemargin}{-69pt} \begin{document}$$LNEN \approx 50\%$$\end{document}), attributed to the proposed model's effectiveness.</t>
  </si>
  <si>
    <t>[Das, Sushovan] Coll Engn &amp; Management, Dept CSE, Kolaghat 721171, West Bengal, India; [Mondal, Uttam Kr.] Vidyasagar Univ, Dept Comp Sci, Midnapore 721102, West Bengal, India</t>
  </si>
  <si>
    <t>Das, S (corresponding author), Coll Engn &amp; Management, Dept CSE, Kolaghat 721171, West Bengal, India.</t>
  </si>
  <si>
    <t>1018-4864</t>
  </si>
  <si>
    <t>1572-9451</t>
  </si>
  <si>
    <t>10.1007/s11235-024-01165-y</t>
  </si>
  <si>
    <t>Mondal, A</t>
  </si>
  <si>
    <t>Mondal, Animesh</t>
  </si>
  <si>
    <t>A Brief Review Depending on the Chemistry of Isatin in Single Pot Technique Towards the Construction of Significant and Valuable Heterocyclic Scaffolds</t>
  </si>
  <si>
    <t>LETTERS IN ORGANIC CHEMISTRY</t>
  </si>
  <si>
    <t>Isatin; multicomponent reactions (MCRs); one-pot technique; heterocyclic scaffolds; spiro-oxindole; spiro-fused compounds</t>
  </si>
  <si>
    <t>REGIOSELECTIVE SYNTHESIS; EFFICIENT SYNTHESIS; 1,3-DIPOLAR CYCLOADDITION; MULTICOMPONENT REACTION; 3-COMPONENT SYNTHESIS; ENANTIOSELECTIVE SYNTHESIS; COMBINATORIAL SYNTHESIS; BETA-THIOSEMICARBAZONE; FACILE SYNTHESIS; GENERAL-METHOD</t>
  </si>
  <si>
    <t>The term isatin and its derivative-based MCRs have emerged over the years as a versatile, environment-friendly, and very promising platform for the construction of highly enabling bioactive organic scaffolds such as drugs, natural products, pharmaceuticals etc. In the world of recent advancements, the one-pot strategy based on isatin has come to the forefront of synthetic chemistry for the activation of small organic molecules. This present survey touched on the chemistry of isatin employed over the past decade to sketch and for the creation of various types of organic molecules consisting of heterocyclic or spiro-heterocyclic skeletons via one-pot methodology.</t>
  </si>
  <si>
    <t>[Mondal, Animesh] Vidyasagar Univ, Govt Gen Degree Coll Salboni, Dept Chem, Paschim Medinipur 721516, West Bengal, India</t>
  </si>
  <si>
    <t>Mondal, A (corresponding author), Vidyasagar Univ, Govt Gen Degree Coll Salboni, Dept Chem, Paschim Medinipur 721516, West Bengal, India.</t>
  </si>
  <si>
    <t>BENTHAM SCIENCE PUBL LTD</t>
  </si>
  <si>
    <t>SHARJAH</t>
  </si>
  <si>
    <t>EXECUTIVE STE Y-2, PO BOX 7917, SAIF ZONE, 1200 BR SHARJAH, U ARAB EMIRATES</t>
  </si>
  <si>
    <t>1570-1786</t>
  </si>
  <si>
    <t>1875-6255</t>
  </si>
  <si>
    <t>10.2174/0115701786292045240226050222</t>
  </si>
  <si>
    <t>Chemistry, Organic</t>
  </si>
  <si>
    <t>Mishra, D; Mondal, HS</t>
  </si>
  <si>
    <t>Mishra, Dwaipayan; Mondal, Himadri Shekhar</t>
  </si>
  <si>
    <t>Existence of a Cauchy Surface and Compactness of Causally Convex Hulls in a Spacetime ∗</t>
  </si>
  <si>
    <t>BOLETIM SOCIEDADE PARANAENSE DE MATEMATICA</t>
  </si>
  <si>
    <t>Causality; globally hyperbolic spacetime; Cauchy surface; causally convex hull; time function</t>
  </si>
  <si>
    <t>In this paper it is shown that, if a spacetime contains a Cauchy surface then the causally convex hulls of compact sets are compact. The converse is not true in general, however if the spacetime is causal then the compactness of causally convex hulls of compact sets of the spacetime ascertain the existence of a Cauchy surface. Also, the convex hull operator is defined and some results regarding it have been explored.</t>
  </si>
  <si>
    <t>[Mishra, Dwaipayan; Mondal, Himadri Shekhar] Vidyasagar Univ, Midnapore Coll Autonomous, Dept Math, Midnapore 721101, WB, India</t>
  </si>
  <si>
    <t>Midnapore College; Vidyasagar University</t>
  </si>
  <si>
    <t>Mishra, D (corresponding author), Vidyasagar Univ, Midnapore Coll Autonomous, Dept Math, Midnapore 721101, WB, India.</t>
  </si>
  <si>
    <t>SOC PARANAENSE MATEMATICA</t>
  </si>
  <si>
    <t>CURITIBA</t>
  </si>
  <si>
    <t>JD AMERICAS, CAIXA POSTAL 19081, CURITIBA, PR 81531-990, BRAZIL</t>
  </si>
  <si>
    <t>0037-8712</t>
  </si>
  <si>
    <t>2175-1188</t>
  </si>
  <si>
    <t>10.5269/bspm.65472</t>
  </si>
  <si>
    <t>Bhunia, Anup Kumar; Mondal, Dheeman; Parui, Sanjukta Mondal; Mondal, Amal Kumar</t>
  </si>
  <si>
    <t>Characterization of a new natural novel lignocellulose fiber resource from the stem of Cyperus platystylis R.Br.</t>
  </si>
  <si>
    <t>[Bhunia, Anup Kumar; Mondal, Dheeman; Mondal, Amal Kumar] Vidyasagar Univ, UGC DRS SAP &amp; DBT BOOST WB Supported Dept 2, Dept Bot &amp; Forestry, Plant Taxon Biosystemat &amp; Mol Taxon Lab, Midnapore 721102, West Bengal, India; [Parui, Sanjukta Mondal] Lady Brabourne Coll, Post Grad Dept Zool, Biochem Lab, P1-2 Suhrawardy Ave, Kolkata 700017, West Bengal, India</t>
  </si>
  <si>
    <t>Mondal, AK (corresponding author), Vidyasagar Univ, UGC DRS SAP &amp; DBT BOOST WB Supported Dept 2, Dept Bot &amp; Forestry, Plant Taxon Biosystemat &amp; Mol Taxon Lab, Midnapore 721102, West Bengal, India.</t>
  </si>
  <si>
    <t>10.1038/s41598-023-35888-w</t>
  </si>
  <si>
    <t>Datta, Srimoyee; Sahu, Tarak Nath</t>
  </si>
  <si>
    <t>The Impact of the Pandemic on the Female Unorganized Sector Workers: A Study in the Rural Backdrop of West Bengal</t>
  </si>
  <si>
    <t>[Datta, Srimoyee] Sidho Kanho Birsha Univ, Dept Business Adm, Purulia, India; [Sahu, Tarak Nath] Vidyasagar Univ, Dept Business Adm, Midnapore, India</t>
  </si>
  <si>
    <t>Datta, S (corresponding author), Sidho Kanho Birsha Univ, Dept Business Adm, Purulia, India.</t>
  </si>
  <si>
    <t>10.1108/978-1-83753-180-620231021</t>
  </si>
  <si>
    <t>Chakraborty, S; Pal, RR; Dutta, S</t>
  </si>
  <si>
    <t>Chakraborty, Saheb; Pal, Radha Raman; Dutta, Sutanu</t>
  </si>
  <si>
    <t>A theoretical approach to study the thermal impact of the DC and RF characteristics of a MgZnO/ZnO HEMT</t>
  </si>
  <si>
    <t>JOURNAL OF THE KOREAN PHYSICAL SOCIETY</t>
  </si>
  <si>
    <t>MgZnO/ZnO HEMT; Current model; DC characteristics; RF characteristics; Cut-off frequency; Maximum operating frequency</t>
  </si>
  <si>
    <t>ZNO MATERIALS; PERFORMANCE; DEPENDENCE</t>
  </si>
  <si>
    <t>In this work, a new current model of the MgZnO/ZnO high electron mobility transistors (HEMTs) has been developed considering the exact velocity-field characteristics of electrons in ZnO. The drain current of the device has been studied with reference to different applied potentials. The other device parameters, such as drain conductance, mutual conductance, cut-off frequency, and maximum operating frequency, are also calculated and their variations with different device parameters are studied. In addition, the variation of drain current with respect to ambient temperature and mole fraction of MgZnO have been studied and the results are reported. It has been noticed from our study that device characteristics depend significantly on the shift of temperature as well as the mole fraction of MgZnO. Finally, the theoretical results are compared with the experimental data reported earlier to crosscheck the validity of this model.</t>
  </si>
  <si>
    <t>[Chakraborty, Saheb; Pal, Radha Raman] Vidyasagar Univ, Dept Phys, Paschim Medinipur, W Bengal, India; [Chakraborty, Saheb] Garhbeta Coll, Dept Phys, Paschim Medinipur, W Bengal, India; [Dutta, Sutanu] Vidyasagar Univ, Dept Elect, Paschim Medinipur, W Bengal, India</t>
  </si>
  <si>
    <t>KOREAN PHYSICAL SOC</t>
  </si>
  <si>
    <t>SEOUL</t>
  </si>
  <si>
    <t>635-4, YUKSAM-DONG, KANGNAM-KU, SEOUL 135-703, SOUTH KOREA</t>
  </si>
  <si>
    <t>0374-4884</t>
  </si>
  <si>
    <t>1976-8524</t>
  </si>
  <si>
    <t>10.1007/s40042-023-00985-6</t>
  </si>
  <si>
    <t>Pandey, Krishna Dayal; Sahu, Tarak Nath; Manna, Apu</t>
  </si>
  <si>
    <t>Evidence on the Non-linear Effect of Large Ownership on the Enterprise Value of Indian Manufacturing Firms</t>
  </si>
  <si>
    <t>VISION-THE JOURNAL OF BUSINESS PERSPECTIVE</t>
  </si>
  <si>
    <t>[Pandey, Krishna Dayal] Vidyasagar Univ, Directorate Distance Educ, Midnapore, W Bengal, India; [Sahu, Tarak Nath] Vidyasagar Univ, Dept Commerce, Midnapore 721102, W Bengal, India; [Manna, Apu] Bankura Univ, Ramananda Coll, Dept Commerce, Bankura, W Bengal, India</t>
  </si>
  <si>
    <t>0972-2629</t>
  </si>
  <si>
    <t>2249-5304</t>
  </si>
  <si>
    <t>10.1177/0972262920984017</t>
  </si>
  <si>
    <t>Jana, T; Mondal, S; Pal, K; Mondal, K; Patra, S; Hilaluddin; Halder, SK; Mondal, KC</t>
  </si>
  <si>
    <t>Jana, Tanmoy; Mondal, Subhadeep; Pal, Kalyanbrata; Mondal, Krishnendu; Patra, Susovan; Hilaluddin, Suman Kumar; Halder, Suman Kumar; Mondal, Keshab Chandra</t>
  </si>
  <si>
    <t>Quality improvement of banana fiber through sequential enzymatic treatment</t>
  </si>
  <si>
    <t>Banana fiber; Pectinase; Xylanase; Laccase; Quality improvement</t>
  </si>
  <si>
    <t>CELLULOLYTIC ENZYMES; OPTIMIZATION</t>
  </si>
  <si>
    <t>The search for environment-friendly and sustainable techniques like microbial enzymatic treatment for processing of natural fibers outcompete traditional techniques of using harsh chemicals and environmental pollution. This investigation explores the application of microbial enzymes in enhancing the quality of banana pseudo-stem fibers. Solid-state fermentation was systematically optimized for the synthesis of pectinase, xylanase, and laccase, utilizing the previously isolated strains Aspergillus niger SKN1 and Pycnoporus sanguineus SKS1. The sequential enzymatic treatment demonstrated substantial degumming efficiency, evident in a reduction of weight (22.6%), moisture sorption (16.83%), and fiber diameter in comparison to the control. Additionally, a noteworthy decline in pectin (73.75%), xylan (61.9%), and lignin (52.3%) content was observed in the enzyme-treated fibers relative to the control. Moreover, scanning electron microscopy confirmed the efficiency of the synergistic enzymatic treatment. The sequential enzymatic treatment exhibited promising potential to transform crude banana fibers into textile-grade fibers, offering an alternative resource for the textile industry.</t>
  </si>
  <si>
    <t>[Jana, Tanmoy; Pal, Kalyanbrata; Mondal, Krishnendu; Patra, Susovan; Hilaluddin, Suman Kumar; Halder, Suman Kumar; Mondal, Keshab Chandra] Vidyasagar Univ, Dept Microbiol, Midnapore 721102, West Bengal, India; [Mondal, Subhadeep] Vidyasagar Univ, Ctr Life Sci, Midnapore 721102, West Bengal, India; [Hilaluddin, Suman Kumar; Halder, Suman Kumar] Vivekananda Mahavidyalaya, Dept Microbiol, Burdwan 713103, West Bengal, India</t>
  </si>
  <si>
    <t>10.1007/s43393-024-00265-9</t>
  </si>
  <si>
    <t>Ghosh, J; Ali, ST</t>
  </si>
  <si>
    <t>Ghosh, Joyjit; Ali, Sk Tarik</t>
  </si>
  <si>
    <t>Can I become a tree?: Plant Imagination in Contemporary Indian Poetry in English</t>
  </si>
  <si>
    <t>OPEN CULTURAL STUDIES</t>
  </si>
  <si>
    <t>plant imagination; plant subjectivity; plant otherness; Anthropocene; botanical loss</t>
  </si>
  <si>
    <t>Indian poetry in English has a deep engagement with plant imagination from its beginning. The discourse of plant imaginary, however, is never monolithic here. The early poems often use trees either as symbols or semantic entities. In other words, the representation of ontological identity of a tree is largely ignored in early Indian English poems barring a few remarkable exceptions. But contemporary Indian English poetry looks beyond the anthropomorphic vision of a tree and portrays plant subjectivity and plant agency. The depiction of a symbiotic relation between the human world and the arboreal world is also at the centre of this poetry. Some poems speak of plant personhood and even human aspiration for becoming a tree. The present paper critically reads the relevant poems of poets like Toru Dutt, Keki N. Daruwalla, Arvind Krishna Mehrotra, Gieve Patel, Dilip Chitre, Temsula Ao, Sumana Roy, Paresh Tiwari, Kiriti Sengupta among others, and explores all these issues from the perspectives of Critical Plant Studies. The paper also examines how Indian poetry in English is at times implicated in didacticism when it critiques the unprecedented botanical loss in the Anthropocene.</t>
  </si>
  <si>
    <t>[Ghosh, Joyjit] Vidyasagar Univ, English Literature Language &amp; Cultural Studies, Vidyasagar Univ Rd, Midnapore 721102, W Bengal, India; [Ali, Sk Tarik] Hooghly Mohsin Coll, PG Dept English, Hooghly 712101, W Bengal, India</t>
  </si>
  <si>
    <t>Ghosh, J (corresponding author), Vidyasagar Univ, English Literature Language &amp; Cultural Studies, Vidyasagar Univ Rd, Midnapore 721102, W Bengal, India.</t>
  </si>
  <si>
    <t>DE GRUYTER POLAND SP Z O O</t>
  </si>
  <si>
    <t>WARSAW</t>
  </si>
  <si>
    <t>BOGUMILA ZUGA 32A STR, 01-811 WARSAW, MAZOVIA, POLAND</t>
  </si>
  <si>
    <t>2451-3474</t>
  </si>
  <si>
    <t>10.1515/culture-2024-0023</t>
  </si>
  <si>
    <t>Cultural Studies</t>
  </si>
  <si>
    <t>Mallick, Abhi; Roy, Abhiparna; Sarkar, Soma; Mondal, Keshab Ch.; Das, Surojit</t>
  </si>
  <si>
    <t>Customized molecular diagnostics of bacterial bloodstream infections for carbapenem resistance: A convenient and affordable approach</t>
  </si>
  <si>
    <t>PATHOGENS AND GLOBAL HEALTH</t>
  </si>
  <si>
    <t>[Mallick, Abhi; Das, Surojit] Vidyasagar Univ, Dept Biomed Lab Sci &amp; Management, Midnapore, W Bengal, India; [Roy, Abhiparna; Sarkar, Soma] Nil Ratan Sirkar Med Coll &amp; Hosp, Dept Microbiol, Kolkata, W Bengal, India; [Mondal, Keshab Ch.] Vidyasagar Univ, Dept Microbiol, Midnapore, W Bengal, India; [Das, Surojit] Vidyasagar Univ, Biomed Lab Sci &amp; Management, Midnapore 721102, W Bengal, India</t>
  </si>
  <si>
    <t>Das, S (corresponding author), Vidyasagar Univ, Biomed Lab Sci &amp; Management, Midnapore 721102, W Bengal, India.</t>
  </si>
  <si>
    <t>2047-7724</t>
  </si>
  <si>
    <t>2047-7732</t>
  </si>
  <si>
    <t>OCT 3</t>
  </si>
  <si>
    <t>10.1080/20477724.2023.2201982</t>
  </si>
  <si>
    <t>Public, Environmental &amp; Occupational Health; Parasitology; Tropical Medicine</t>
  </si>
  <si>
    <t>Giri, Prabhat Kumar; Samanta, Shashanka Shekhar; Mudi, Naren; Mandal, Usha; Misra, Ajay</t>
  </si>
  <si>
    <t>Synthesis of Fluorophore Based Functional Material for Selective Detection of Al3+ Ion in Water and Decoding the AIEE Property of Its Hydrosol</t>
  </si>
  <si>
    <t>[Giri, Prabhat Kumar; Samanta, Shashanka Shekhar; Mudi, Naren; Mandal, Usha; Misra, Ajay] Vidyasagar Univ, Dept Chem, Midnapore 721102, West Bengal, India</t>
  </si>
  <si>
    <t>10.1007/s10895-023-03238-8</t>
  </si>
  <si>
    <t>Sabar, B; Midya, DK</t>
  </si>
  <si>
    <t>Sabar, Bhubaneswar; Midya, Dipak K.</t>
  </si>
  <si>
    <t>Encountering Illness: Local Knowledge, Institutions and the Science of Healthcare Practices among the Chuktia Bhunjia Tribe of Odisha, India</t>
  </si>
  <si>
    <t>[Sabar, Bhubaneswar; Midya, Dipak K.] Vidyasagar Univ, Dept Anthropol, Midnapore, India; [Sabar, Bhubaneswar] Maharaja Sriram Chandra Bhanja Deo Univ, Dept Anthropol &amp; Tribal Studies, Mayurbhanj, India</t>
  </si>
  <si>
    <t>Sabar, B (corresponding author), Maharaja Sriram Chandra Bhanja Deo Univ, Dept Anthropol &amp; Tribal Studies, Erstwhile North Orissa Univ, Mayurbhanj 757003, Odisha, India.</t>
  </si>
  <si>
    <t>10.1177/00219096221086541</t>
  </si>
  <si>
    <t>Encountering Land Grab An Ethnographic Journey Conclusion</t>
  </si>
  <si>
    <t>ENCOUNTERING LAND GRAB: An Ethnographic Journey</t>
  </si>
  <si>
    <t>[Guha, Abhijit] Vidyasagar Univ, Anthropol, Midnapore, India; [Guha, Abhijit] ICSSR, Kolkata, India</t>
  </si>
  <si>
    <t>Guha, A (corresponding author), ICSSR, Kolkata, India.</t>
  </si>
  <si>
    <t>Anthropology; Social Sciences, Interdisciplinary</t>
  </si>
  <si>
    <t>Anthropology; Social Sciences - Other Topics</t>
  </si>
  <si>
    <t>Mandal, HK; Maiti, DK; Jana, RN</t>
  </si>
  <si>
    <t>Mandal, H. K.; Maiti, D. K.; Jana, R. N.</t>
  </si>
  <si>
    <t>Unsteady MHD Free Convection in a Radiating Fluid Flow past a Vertically Time-Dependent Moving Plate with Ramped Double-Diffusive Condition</t>
  </si>
  <si>
    <t>JOURNAL OF ENGINEERING THERMOPHYSICS</t>
  </si>
  <si>
    <t>CHEMICAL-REACTION; THERMAL-RADIATION; MASS-TRANSFER; MICROPOLAR FLUID; TEMPERATURE; SURFACE</t>
  </si>
  <si>
    <t>An unsteady MHD-free convection heat-mass transfer from a viscous, incompressible fluid flow past an infinite vertical moving plate is studied here. The fluid is considered to be electrically conducting and chemically reacting. We consider three types of plate movements: uniform velocity, uniform acceleration, and periodic acceleration. Ramped as well as constant conditions at the plate for both temperature and concentration are considered. We obtain the exact solutions of the governing equations using the method of the Laplace transform technique. The impact of the type of thermal and concentration boundary condition (constant/ramped) at the plate as well as the kind of plate movement on the flow, heat and mass transfer characteristics, are presented and analyzed here. While doing so, we also consider the variation of our governing parameters: thermal and solutal Grash of numbers, magnetic field intensity, radiation (R), chemical reaction (Kc) Prandtl number and Schmidt numbers. It is observed that the presence of buoyancy and other forces close to the plate can be almost nullified due to the imposition of a strong transverse magnetic field. The viscous drag at the plate diminishes (and increases) with the increase of the strength of the applied magnetic field (and R and Kc). The rate of increment of skin friction with respect to time is more for the case of periodic oscillating plate movement. The magnitude of viscous drag is reported as more significant for the constant case compared to the ramped case.</t>
  </si>
  <si>
    <t>[Mandal, H. K.] Balurghat Coll, Dept Math, Balurghat 733101, India; [Maiti, D. K.; Jana, R. N.] Vidyasagar Univ, Dept Appl Math Oceanol &amp; Comp Programming, Midnapore 721102, India</t>
  </si>
  <si>
    <t>Maiti, DK (corresponding author), Vidyasagar Univ, Dept Appl Math Oceanol &amp; Comp Programming, Midnapore 721102, India.</t>
  </si>
  <si>
    <t>PLEIADES PUBLISHING INC</t>
  </si>
  <si>
    <t>PLEIADES HOUSE, 7 W 54 ST, NEW YORK, NY, UNITED STATES</t>
  </si>
  <si>
    <t>1810-2328</t>
  </si>
  <si>
    <t>1990-5432</t>
  </si>
  <si>
    <t>10.1134/S1810232824030135</t>
  </si>
  <si>
    <t>Thermodynamics; Engineering, Mechanical; Mechanics</t>
  </si>
  <si>
    <t>Thermodynamics; Engineering; Mechanics</t>
  </si>
  <si>
    <t>Mondal, P.; Maiti, D. K.</t>
  </si>
  <si>
    <t>Base Fluids, Its Temperature and Heat Source on MHD Couette-Poiseuille Nanofluid Flow through Slippy Porous Microchannel with Convective-Radiative Condition: Entropy Analysis</t>
  </si>
  <si>
    <t>[Mondal, P.] Subarnarekha Mahavidyalaya, Dept Math, Gopiballavpur 721506, Jhargram, India; [Maiti, D. K.] Vidyasagar Univ, Dept Appl Math Oceanol &amp; Comp Programming, Midnapore 721102, West Bengal, India</t>
  </si>
  <si>
    <t>Maiti, DK (corresponding author), Vidyasagar Univ, Dept Appl Math Oceanol &amp; Comp Programming, Midnapore 721102, West Bengal, India.</t>
  </si>
  <si>
    <t>10.1134/S181023282304015X</t>
  </si>
  <si>
    <t>How Far is Microfinance Relevant for Empowering Rural Women? An Empirical Investigation</t>
  </si>
  <si>
    <t>JOURNAL OF ECONOMIC ISSUES</t>
  </si>
  <si>
    <t>[Datta, Srimoyee] Sidho Kanho Birsha Univ, Bengal Inst Sci &amp; Technol, Lagda, W Bengal, India; [Sahu, Tarak Nath] Vidyasagar Univ, Dept Commerce, Midnapore, W Bengal, India</t>
  </si>
  <si>
    <t>Sahu, TN (corresponding author), Vidyasagar Univ, Dept Commerce, Midnapore, W Bengal, India.</t>
  </si>
  <si>
    <t>0021-3624</t>
  </si>
  <si>
    <t>1946-326X</t>
  </si>
  <si>
    <t>10.1080/00213624.2022.2019552</t>
  </si>
  <si>
    <t>Encountering Land Grab An Ethnographic Journey Preface</t>
  </si>
  <si>
    <t>Das, K; Ghosh, S</t>
  </si>
  <si>
    <t>Das, Kakoli; Ghosh, Saswata</t>
  </si>
  <si>
    <t>Factors Affecting Inequity in Institutional Delivery and Choice of Providers The Role of Janani Suraksha Yojana and Community Health Workers in Bihar</t>
  </si>
  <si>
    <t>HEALTH AND NUTRITION OF WOMEN AND CHILDREN IN EMPOWERED ACTION GROUP STATES OF INDIA: Status and Progress</t>
  </si>
  <si>
    <t>INDIA; CARE; DETERMINANTS; MORTALITY; PROGRAM; IMPACT; NEEDS</t>
  </si>
  <si>
    <t>[Das, Kakoli] Vidyasagar Univ, Midnapore, India; [Ghosh, Saswata] Inst Dev Studies, Kolkata, India</t>
  </si>
  <si>
    <t>Das, K (corresponding author), Vidyasagar Univ, Midnapore, India.</t>
  </si>
  <si>
    <t>10.4324/9781003430636-17</t>
  </si>
  <si>
    <t>Health Care Sciences &amp; Services; Family Studies; Nutrition &amp; Dietetics</t>
  </si>
  <si>
    <t>Book Citation Index – Social Sciences &amp; Humanities (BKCI-SSH); Book Citation Index – Science (BKCI-S)</t>
  </si>
  <si>
    <t>Acharya, Indranil; Naskar, Shubhendu Shekhar; Pramanik, Shyamal Kumar</t>
  </si>
  <si>
    <t>Representation of Humiliation in Bengali Dalit Literature: A Comparative Study</t>
  </si>
  <si>
    <t>[Acharya, Indranil; Naskar, Shubhendu Shekhar] Vidyasagar Univ, Dept English, Midnapore, West Bengal, India; [Pramanik, Shyamal Kumar] Paschimbanga Dalit Sahitya Akad, Purulia, West Bengal, India; [Acharya, Indranil] Vidyasagar Univ, Dept English, Midnapore 721102, West Bengal, India</t>
  </si>
  <si>
    <t>Acharya, I (corresponding author), Vidyasagar Univ, Dept English, Midnapore 721102, West Bengal, India.</t>
  </si>
  <si>
    <t>10.1177/2455328X231170123</t>
  </si>
  <si>
    <t>Mukherjee, Kousik; Jana, Paresh Chandra</t>
  </si>
  <si>
    <t>Magnon bistability in a hybrid cavity-magnon system</t>
  </si>
  <si>
    <t>[Mukherjee, Kousik; Jana, Paresh Chandra] Vidyasagar Univ, Dept Phys, Midnapore 721102, India; [Mukherjee, Kousik] Govt Gen Degree Coll, Dept Phys, Gopiballavpur II, Gopiballavpur II, Beliaberah 721517, India</t>
  </si>
  <si>
    <t>Mukherjee, K (corresponding author), Vidyasagar Univ, Dept Phys, Midnapore 721102, India.;Mukherjee, K (corresponding author), Govt Gen Degree Coll, Dept Phys, Gopiballavpur II, Gopiballavpur II, Beliaberah 721517, India.</t>
  </si>
  <si>
    <t>10.1007/s40042-022-00677-7</t>
  </si>
  <si>
    <t>Layek, Ujjwal; Das, Nandita; Kundu, Arijit; Karmakar, Prakash; Reddy, Gadi V. P.</t>
  </si>
  <si>
    <t>Methods Employed in the Determining Nectar and Pollen Sources for Bees: a Review of the Global Scenario</t>
  </si>
  <si>
    <t>ANNALS OF THE ENTOMOLOGICAL SOCIETY OF AMERICA</t>
  </si>
  <si>
    <t>[Layek, Ujjwal] Rampurhat Coll, Dept Bot, Birbhum 731224, India; [Das, Nandita] Vidyasagar Univ, Ctr Life Sci, Midnapore 721102, India; [Kundu, Arijit; Karmakar, Prakash] Vidyasagar Univ, Dept Bot &amp; Forestry, Midnapore 721102, India</t>
  </si>
  <si>
    <t>Karmakar, P (corresponding author), Vidyasagar Univ, Dept Bot &amp; Forestry, Midnapore 721102, India.</t>
  </si>
  <si>
    <t>OXFORD UNIV PRESS INC</t>
  </si>
  <si>
    <t>CARY</t>
  </si>
  <si>
    <t>JOURNALS DEPT, 2001 EVANS RD, CARY, NC 27513 USA</t>
  </si>
  <si>
    <t>0013-8746</t>
  </si>
  <si>
    <t>1938-2901</t>
  </si>
  <si>
    <t>NOV 14</t>
  </si>
  <si>
    <t>10.1093/aesa/saac013</t>
  </si>
  <si>
    <t>Entomology</t>
  </si>
  <si>
    <t>Giri, Prabhat Kumar; Samanta, Shashanka Shekhar; Mudi, Naren; Shyamal, Milan; Misra, Ajay</t>
  </si>
  <si>
    <t>Highly Sensitive 'on-off' Pyrene Based AIEgen for Selective Sensing of Copper (II) Ions in Aqueous Media</t>
  </si>
  <si>
    <t>[Giri, Prabhat Kumar; Samanta, Shashanka Shekhar; Mudi, Naren; Shyamal, Milan; Misra, Ajay] Vidyasagar Univ, Dept Chem, Midnapore 721102, W Bengal, India</t>
  </si>
  <si>
    <t>Misra, A (corresponding author), Vidyasagar Univ, Dept Chem, Midnapore 721102, W Bengal, India.</t>
  </si>
  <si>
    <t>10.1007/s10895-022-02929-y</t>
  </si>
  <si>
    <t>Mukherjee, Kousik; Samanta, Anjan; Jana, Paresh Chandra</t>
  </si>
  <si>
    <t>Controllable optical bistability based on rotation in semiconductor micro-cavity</t>
  </si>
  <si>
    <t>[Mukherjee, Kousik; Samanta, Anjan; Jana, Paresh Chandra] Vidyasagar Univ, Dept Phys, Midnapore 721102, W Bengal, India; [Mukherjee, Kousik] Govt Gen Degree Coll Gopiballavpur II, Dept Phys, Beliaberah 721517, W Bengal, India</t>
  </si>
  <si>
    <t>Mukherjee, K (corresponding author), Vidyasagar Univ, Dept Phys, Midnapore 721102, W Bengal, India.;Mukherjee, K (corresponding author), Govt Gen Degree Coll Gopiballavpur II, Dept Phys, Beliaberah 721517, W Bengal, India.</t>
  </si>
  <si>
    <t>10.1142/S0218863521500120</t>
  </si>
  <si>
    <t>Basu, A; Dutta, B</t>
  </si>
  <si>
    <t>Basu, Anindya; Dutta, Bidyarthi</t>
  </si>
  <si>
    <t>An Analytical Study of Alternative Method for Solving Lotka's Law with Simpson's 1/3 Rule</t>
  </si>
  <si>
    <t>Lotka's Law; Trapezoidal Rule; Simpson's 1/3 Rule; Simpson's 3/8 Rule; Pao Method</t>
  </si>
  <si>
    <t>EMPIRICAL VALIDITY</t>
  </si>
  <si>
    <t>This paper deals with a new stochastic method to solve Lotka's Law with higher degree of Newton-Cotes Quadrature Rule as an alternate method to existing solution of the value determination of the constant part of the power law; so far, M.L. Pao gave a solution with an equation to determine the area under the curve with numerical integration rule with degree=1 which is also known as Trapezoidal Rule. Here, next higher degree 2, popularly known as Simpson's 1/3 rule at closed interval [ x1, ] has been used to establish a deterministic equation form to solve authors' productivity realized through Lotka's Law. Re-estimating the value of C with higher degree quadrature rule is very crucial as the probability of inclusion of more area and exclusion of unnecessary area under the curve is more precise. Another area of investigation is the determination of p value (Pao determined p=20), i.e. whether p=20 can be altered? Or equation derived through Simpson's 1/3 rule, whether it can give a minimal residual error beyond p=20. This paper is dedicated to build up a mathematical equation to solve the constant value(C) of the Lotka's law equation as well as enlighten all these investigating points.</t>
  </si>
  <si>
    <t>[Basu, Anindya] Maharani Kasiswari Coll, Dept Lib, Kolkata, W Bengal, India; [Dutta, Bidyarthi] Vidyasagar Univ, Dept Lib Informat Sci, Midnapore, W Bengal, India</t>
  </si>
  <si>
    <t>Dutta, B (corresponding author), Vidyasagar Univ, Dept Lib Informat Sci, Midnapore, W Bengal, India.</t>
  </si>
  <si>
    <t>10.5530/jscires.13.2.37</t>
  </si>
  <si>
    <t>Hui, S</t>
  </si>
  <si>
    <t>Hui, Shalmali</t>
  </si>
  <si>
    <t>Recent Advances and Prospects of Carbon Nanotubes in Nanomedicine: A Mini Review</t>
  </si>
  <si>
    <t>INTERNATIONAL JOURNAL OF NANOSCIENCE</t>
  </si>
  <si>
    <t>Carbon nanotubes; biomedical applications; nanomedicine; photodynamic and photothermal therapy; drug/gene delivery; tissue engineering</t>
  </si>
  <si>
    <t>CHEMICAL-VAPOR-DEPOSITION; DRUG-DELIVERY; LUNG-CANCER; THERAPY; GROWTH; COMPOSITE; FUNCTIONALIZATION; COMBINATION; FABRICATION; DIAMETER</t>
  </si>
  <si>
    <t>Currently, the field of nanoscience and nanotechnology has potential advantages in various disciplines of science. Nanomedicine has emerged as a specific application of nanotechnology in health system. The use of nanoscale materials in nanomedicine holds a promising potential for prevention, diagnosis and treatment of several diseases. During the last three decades, carbon nanotubes (CNTs) have stimulated a significant attention worldwide due to their impressive advantages like small size and mass, high surface area-to-volume ratio, easy functionalization, superb physico-mechanical properties, and so on. CNTs have provided multifunctional platforms for biological applications such as bioimaging, biosensing, medical diagnosis, phototherapy, drug and gene delivery, tissue engineering, etc. owing to their innovative and attractive properties. This review presents a comprehensive framework of the unique advantages and up-to-date advanced biomedical applications of CNTs to date, with special emphasis on the recent progress in nanomedicine like phototherapy, drug and gene delivery, and tissue engineering. Besides the applications, an overview of CNTs along with some important methodologies of synthesis is also discussed herewith. Lastly, some major concerns to be challenged and perspectives for the future development of CNTs in the field of biomedical sector are highlighted in this paper which will help to give valuable insights into new research directions.</t>
  </si>
  <si>
    <t>[Hui, Shalmali] Vidyasagar Univ, Dept Chem, Hijli Coll, Kharagpur, West Bengal, India</t>
  </si>
  <si>
    <t>Hui, S (corresponding author), Vidyasagar Univ, Dept Chem, Hijli Coll, Kharagpur, West Bengal, India.</t>
  </si>
  <si>
    <t>0219-581X</t>
  </si>
  <si>
    <t>1793-5350</t>
  </si>
  <si>
    <t>10.1142/S0219581X24300025</t>
  </si>
  <si>
    <t>Nanoscience &amp; Nanotechnology</t>
  </si>
  <si>
    <t>Poulik, S; Ghorai, G; Xin, Q</t>
  </si>
  <si>
    <t>Poulik, Soumitra; Ghorai, Ganesh; Xin, Qin</t>
  </si>
  <si>
    <t>Explication of crossroads order based on Randic index of graph with fuzzy information</t>
  </si>
  <si>
    <t>Fuzzy graph; Randic index; Bounds and Cycles; Crossroads and Tourism sectors</t>
  </si>
  <si>
    <t>ARCS</t>
  </si>
  <si>
    <t>Connectivity measures real energization state of manifold applications and user interference in many criteria-based network systems. Randic index is a parameter of this type that can be used to measure the combined power of molecular graph or graphical network system. The concept of Randic index has been applied in a connected system in Indonesia tourism sectors under some uncertain conditions. First, Randic index of fuzzy graph (FG) and fuzzy subgraph are introduced and investigated their properties. Second, different upper and lower bounds of Randic index and their isomorphic properties in fuzzy graphs are exhibited. Third, the Randic index in directed fuzzy graph (FDG) is introduced. Due to presence of similar contribution of vertices, many formulas for calculating Randic index of regular fuzzy graphs are presented. Fourth, some similarity and distinction of Randic index with connectivity index (CI) and Wiener index (WI) in fuzzy graph are analyzed. Fifth, an algorithm and a flowchart are proposed to determine Randic index in a fuzzy graph. Finally, an application is depicted to mention the order of important crossroads and stoppages between Balai Kemambang (BKB) and Bukit Kendalisada (BKS) in Indonesia tourism sectors.</t>
  </si>
  <si>
    <t>[Poulik, Soumitra; Ghorai, Ganesh] Vidyasagar Univ, Dept Appl Math Oceanol &amp; Comp Programming, Midnapore 721102, India; [Xin, Qin] Univ Faroe Isl, Fac Sci &amp; Technol, Vestarabryggja 15,FO 100, Torshavn, Faroe Islands, Denmark</t>
  </si>
  <si>
    <t>10.1007/s00500-023-09453-6</t>
  </si>
  <si>
    <t>Mahapatra, Biswajit</t>
  </si>
  <si>
    <t>Prevalence of obesity using new adiposity indices among the Barwar community: A Denotified Tribe of Gonda district, Uttar Pradesh, India</t>
  </si>
  <si>
    <t>CLINICAL EPIDEMIOLOGY AND GLOBAL HEALTH</t>
  </si>
  <si>
    <t>[Mahapatra, Biswajit] Vidyasagar Univ, Dept Anthropol, Midnapore 721102, W Bengal, India; [Mahapatra, Biswajit] Anthropol Survey India, Head Off, Kolkata 700091, W Bengal, India</t>
  </si>
  <si>
    <t>Mahapatra, B (corresponding author), Vidyasagar Univ, Dept Anthropol, Midnapore 721102, W Bengal, India.;Mahapatra, B (corresponding author), Anthropol Survey India, Head Off, Kolkata 700091, W Bengal, India.</t>
  </si>
  <si>
    <t>ELSEVIER - DIVISION REED ELSEVIER INDIA PVT LTD</t>
  </si>
  <si>
    <t>17-A/1 MAIN RING ROAD, LAJPAT NAGAR IV, NEW DELHI, 110024, INDIA</t>
  </si>
  <si>
    <t>2452-0918</t>
  </si>
  <si>
    <t>2213-3984</t>
  </si>
  <si>
    <t>10.1016/j.cegh.2023.101370</t>
  </si>
  <si>
    <t>Meikap, S; Jana, B</t>
  </si>
  <si>
    <t>Meikap, Sudipta; Jana, Biswapati</t>
  </si>
  <si>
    <t>Reference pixel-based reversible data hiding scheme using multi-level pixel value ordering</t>
  </si>
  <si>
    <t>MULTIMEDIA TOOLS AND APPLICATIONS</t>
  </si>
  <si>
    <t>Reference Pixel; Multi-Level PVO; Embedding capacity; Steganalysis; Reversible data hiding; Steganographic Attacks</t>
  </si>
  <si>
    <t>PREDICTION-ERROR; WATERMARKING SCHEME; IMAGE WATERMARKING; PVO; EXPANSION</t>
  </si>
  <si>
    <t>Traditional PVO (Pixel Value Ordering) can embed at most two data bits in a row or column of a smooth image block, which is unable to fulfil current demands. To improve embedding capacity, we propose a reference pixel-based reversible data hiding scheme using multi-level PVO with PEE (Prediction Error Expansion) wheremore than two data bits can be embedded in a smooth block in each iteration while maintaining good visual quality and security. This scheme is different because it uses smooth block selection and takes bin difference (-1) into account when embedding secret data within more than two pixels. By choosing the neighbouring and current block's pixel, this technique determines the smooth block. The reference pixel-based Multi-Level PVO(MPVO) method enhances the embedding performance as well as the image quality. With a block size of mu = (3 x 3), the suggested technique has an average embedding capacity (EC) of over 70,000 bits and an average PSNR of over 40 dB. The experimental results shows that the proposed scheme is relatively greater in concentration with security, image quality and capacity of secrets than the other state-of-the-art schemes. The desired result highlighted certain impressive magnificent qualities in the areas of steganography, security controls, and digitally fraud identification, without which the development of technology would be severely hindered. This programme has significant benefits for both the public and private sectors in the areas of intellectual property rights and health care units.</t>
  </si>
  <si>
    <t>[Meikap, Sudipta] Hijli Coll, Dept Comp Sci, Rangamatia 721306, West Bengal, India; [Jana, Biswapati] Vidyasagar Univ, Dept Comp Sci, Midnapore 721306, West Bengal, India</t>
  </si>
  <si>
    <t>Jana, B (corresponding author), Vidyasagar Univ, Dept Comp Sci, Midnapore 721306, West Bengal, India.</t>
  </si>
  <si>
    <t>1380-7501</t>
  </si>
  <si>
    <t>1573-7721</t>
  </si>
  <si>
    <t>MULTIMED TOOLS APPL</t>
  </si>
  <si>
    <t>Multimed. Tools Appl.</t>
  </si>
  <si>
    <t>10.1007/s11042-023-16171-6</t>
  </si>
  <si>
    <t>Computer Science, Information Systems; Computer Science, Software Engineering; Computer Science, Theory &amp; Methods; Engineering, Electrical &amp; Electronic</t>
  </si>
  <si>
    <t>Mandal, Usha; Samanta, Shashanka Shekhar; Beg, Hasibul; Misra, Ajay</t>
  </si>
  <si>
    <t>Investigation of first hyper-polarisability molecular switches between enol-keto equilibrium of phenyl benzodifurantrione: a DFT-based computational study</t>
  </si>
  <si>
    <t>MOLECULAR PHYSICS</t>
  </si>
  <si>
    <t>[Mandal, Usha; Samanta, Shashanka Shekhar; Beg, Hasibul; Misra, Ajay] Vidyasagar Univ, Midnapore, India; [Misra, Ajay] Vidyasagar Univ, Dept Chem, Midnapore 721101, India</t>
  </si>
  <si>
    <t>Misra, A (corresponding author), Vidyasagar Univ, Dept Chem, Midnapore 721101, India.</t>
  </si>
  <si>
    <t>0026-8976</t>
  </si>
  <si>
    <t>1362-3028</t>
  </si>
  <si>
    <t>10.1080/00268976.2022.2161964</t>
  </si>
  <si>
    <t>Chemistry, Physical; Physics, Atomic, Molecular &amp; Chemical</t>
  </si>
  <si>
    <t>Chemistry; Physics</t>
  </si>
  <si>
    <t>Das, Amit Kumar; Dutta, Bidyarthi</t>
  </si>
  <si>
    <t>Scrutinising uncitedness and few h-type indicators of selected Indian physics and astronomy journals</t>
  </si>
  <si>
    <t>[Das, Amit Kumar] Bhatter Coll, Cent Lib, Paschim Medinipur 721426, W Bengal, India; [Dutta, Bidyarthi] Vidyasagar Univ, Dept Lib &amp; Informat Sci, Midnapore 721102, W Bengal, India</t>
  </si>
  <si>
    <t>Das, AK (corresponding author), Bhatter Coll, Cent Lib, Paschim Medinipur 721426, W Bengal, India.</t>
  </si>
  <si>
    <t>10.56042/alis.v69i1.53801</t>
  </si>
  <si>
    <t>Basu, Anirban; Mahammad, Adil; Das, Arindam</t>
  </si>
  <si>
    <t>Inhibition of the formation of lysozyme fibrillar assemblies by the isoquinoline alkaloid coralyne</t>
  </si>
  <si>
    <t>NEW JOURNAL OF CHEMISTRY</t>
  </si>
  <si>
    <t>[Basu, Anirban; Mahammad, Adil; Das, Arindam] Vidyasagar Univ, Dept Chem, Midnapore 721102, India</t>
  </si>
  <si>
    <t>Basu, A (corresponding author), Vidyasagar Univ, Dept Chem, Midnapore 721102, India.</t>
  </si>
  <si>
    <t>ROYAL SOC CHEMISTRY</t>
  </si>
  <si>
    <t>THOMAS GRAHAM HOUSE, SCIENCE PARK, MILTON RD, CAMBRIDGE CB4 0WF, CAMBS, ENGLAND</t>
  </si>
  <si>
    <t>1144-0546</t>
  </si>
  <si>
    <t>1369-9261</t>
  </si>
  <si>
    <t>NEW J CHEM</t>
  </si>
  <si>
    <t>New J. Chem.</t>
  </si>
  <si>
    <t>10.1039/d1nj06007d</t>
  </si>
  <si>
    <t>Encountering Land Grab An Ethnographic Journey Introduction</t>
  </si>
  <si>
    <t>Mondal, RN; Saha, S</t>
  </si>
  <si>
    <t>Mondal, Rudra Narayan; Saha, Satyajit</t>
  </si>
  <si>
    <t>Fabrication and characterization of photodetector using solvothermally synthesized p-CZTS/Se nanocrystals and n-Si heterojunction</t>
  </si>
  <si>
    <t>JOURNAL OF MATERIALS SCIENCE-MATERIALS IN ELECTRONICS</t>
  </si>
  <si>
    <t>THIN-FILMS; ANNEALING TEMPERATURE; SOLAR-CELLS; CU2ZNSNS4; CU2ZNSN(S,SE)(4); PHASES; ROUTE</t>
  </si>
  <si>
    <t>Chalcogenide semiconducting nanomaterials are very attractive in the field of photodetection as well as photovoltaic effect due to their outstanding optoelectronic performances. In this work, Cu2ZnSnS4 nanocrystals (CZTS NC) and Cu2ZnSnSe4 nanocrystals (CZTSe NC) have been synthesized using simple, straightforward, and cost-effective solvothermal method. The structural, microstructural, and optical characterizations are done on the as-synthesized nanocrystals. XRD patterns reveal tetragonal kesterite phase for both CZTS and CZTSe NCs. TEM images indicate nano-range particle distribution, whilst HRTEM images and SAED pattern exhibit good crystallinity for both materials. High-Angle Annular Dark Field (HAADF) images provide elemental mapping regarding constituent elements and hence, purity of the materials are verified. The p-type CZTS NC and CZTSe NC semiconducting inks have been spin coated directly on to the n-type silicon with (100) orientation for fabricating heterojunction devices. The devices are characterized by the current-voltage behaviour under dark as well as irradiation of light. The photodetection characteristics in wavelength range 300-1100 nm are compared for the devices based on CZTS NC and CZTSe NC with same material, i.e. n-Si. CZTS NC-based device shows better responsivity, detectivity, as well as switching speed than CZTSe NC-based device at -1-V bias condition. On the other hand, CZTSe NC-based device shows all these photodetection characteristics to be better than CZTS NC-based device under zero bias condition (self-powered mode). The comparison is explained on the basis of the change of photocurrent with respect to dark under illumination at reverse bias and zero bias conditions for these devices. Due to simplicity and low processing cost, the fabricated devices could be used in large area applications and hence would be suitable in high-speed light sensing devices. The novelty of this work is related to the growth of CZTS NC without sulphurization, whilst CZTSe NC without selenization. The novelty also include the comparison of the photodetection performances of the CZTS NC and CZTSe NC-based devices.</t>
  </si>
  <si>
    <t>[Mondal, Rudra Narayan] Kharagpur Coll, Dept Phys, Paschim Medinipur 721305, West Bengal, India; [Mondal, Rudra Narayan; Saha, Satyajit] Vidyasagar Univ, Dept Phys, Paschim Medinipur 721102, West Bengal, India</t>
  </si>
  <si>
    <t>Saha, S (corresponding author), Vidyasagar Univ, Dept Phys, Paschim Medinipur 721102, West Bengal, India.</t>
  </si>
  <si>
    <t>0957-4522</t>
  </si>
  <si>
    <t>1573-482X</t>
  </si>
  <si>
    <t>J MATER SCI-MATER EL</t>
  </si>
  <si>
    <t>J. Mater. Sci.-Mater. Electron.</t>
  </si>
  <si>
    <t>10.1007/s10854-024-13855-z</t>
  </si>
  <si>
    <t>Engineering, Electrical &amp; Electronic; Materials Science, Multidisciplinary; Physics, Applied; Physics, Condensed Matter</t>
  </si>
  <si>
    <t>Engineering; Materials Science; Physics</t>
  </si>
  <si>
    <t>Das, P; Saha, S; Bhunia, AK</t>
  </si>
  <si>
    <t>Das, Priyanka; Saha, Satyajit; Bhunia, Amit Kumar</t>
  </si>
  <si>
    <t>Visible light dependent degradation of dye: photocatalytic activity of CdS, CdxZn1-xS and ZnS nanoparticles grown by chemical route</t>
  </si>
  <si>
    <t>NANOCOMPOSITES; TITANIUM; SIZE</t>
  </si>
  <si>
    <t>In the present work CdS, Cd0.75Zn0.25S, Cd0.5Zn0.5S, Cd0.3Zn0.7S, ZnS nanoparticles are grown by chemical reduction route using tetrahydrofuran (THF) as capping agent. The grown nanoparticles are characterized through structurally (XRD, FESEM, EDX) and optically (Optical absorption, emission and Raman Spectrum, TCSPC). X-ray diffraction peaks showed that the crystal structural phase transition from hexagonal phase to cubic phase as Zn content increases in nano-crystalline CdxZn1-xS. Other than CdS and ZnS, composition like Cd0.7Zn0.3S, Cd0.5Zn0.5S, Cd0.3Zn0.7S is targeted to grow and the obtained composition is specified through EDAX analysis. FESEM images show that surface morphology changes (nanorod to nanoparticles) with change of composition. Optical absorption study showed that nanoparticles are formed and the band gap varies from approximate to 2.49 eV for CdS NRs to approximate to 4 eV for ZnS NPs. Photoluminescence peak shifts from 469 nm to 410 nm with the increase of Zn content. TCSPC study shows that average lifetime decreases from 8.3 ns to 1.2 ns as the composition change from CdS NRs to ZnS NPs. Raman spectrum study showed blue shift i.e. from approximate to 301.7 to 314 cm(-1) with change of composition. Using the grown nanoparticles as catalyst we present a photocatalytic degrdation technique of methylene blue (MB) dye in this paper. The results showed that photocatalytic degradation is maximum (86%) in presence of CdS nanorods (NRs) and it is drastically reduced (up to 30%) with ZnS nanoparticles (NPs) under the illumination of visible light. Thus Photo-degradation of methylene blue dye is enhanced in presence of CdS NPs but the activity is reduced as Zn content increases in CdxZn1-xS. The increase of photocatalytic activity is influenced by the shape of nanoparticles, band parameters, optical parameters and different optical light response, crystalinity as well as the lifetime of carriers.</t>
  </si>
  <si>
    <t>[Das, Priyanka; Saha, Satyajit] Vidyasagar Univ, Dept Phys, Midnapore 721102, India; [Bhunia, Amit Kumar] Govt Gen Degree Coll Gopiballavpur II, Dept Phys, Jhargram 721517, India</t>
  </si>
  <si>
    <t>Saha, S (corresponding author), Vidyasagar Univ, Dept Phys, Midnapore 721102, India.;Bhunia, AK (corresponding author), Govt Gen Degree Coll Gopiballavpur II, Dept Phys, Jhargram 721517, India.</t>
  </si>
  <si>
    <t>10.1007/s10854-024-12565-w</t>
  </si>
  <si>
    <t>Roychowdhury, P; Aftabuddin, M; Pati, MK</t>
  </si>
  <si>
    <t>Roychowdhury, Prasun; Aftabuddin, Mohammad; Pati, Manoj Kumar</t>
  </si>
  <si>
    <t>A Review on the Impact of Thermal Stress on Fish Biochemistry</t>
  </si>
  <si>
    <t>AQUATIC SCIENCES AND ENGINEERING</t>
  </si>
  <si>
    <t>Fish stress; Global warming; Thermal stress; Biochemical responses; Molecular mechanism</t>
  </si>
  <si>
    <t>HEAT-SHOCK PROTEINS; GOLDFISH CARASSIUS-AURATUS; GENE-EXPRESSION; LABEO-ROHITA; CELLULAR STRESS; MARINE TELEOST; CLIMATE-CHANGE; TEMPERATURE; TOLERANCE; CORTISOL</t>
  </si>
  <si>
    <t>Fish are an important resource for humans, providing food, economic support, and ecological services. However, rising global temperatures and subsequent increases in their habitat water temperature, pose a significant challenge. We conducted a systematic review to understand the biochemical responses of thermal stress on fish. Stress can be acute (rapid exposure for a short duration) or chronic (repetitive long-term exposure). Stress responses occur at neurotransmitter and hormonal levels, progressing to peripheral and organism-wide effects. Prolonged stress leads to reduced growth, reproductive impairments, heightened infection susceptibility, and mortality. Elevated temperatures serve as abiotic stressors, triggering biotic stress responses. Fish employ strategies to cope with thermal stress, including altering gene expression, metabolite profiles, cellular signaling, and enzyme activity. Cumulative effects of thermal stress induce oxidative stress, causing cell death, organ failure, and mortality. Stressors increase the energy demand, prompting changes in hormonal, enzymatic, and biomolecular responses. Cortisol alters gene expression, norepinephrine, insulin, glucagon) also play roles in the thermal stress response. Enzymes involved in metabolic pathways have optimal temperature and pH ranges altered by thermal stress. Heat shock proteins and warm acclimation proteins act as protective mechanisms by preserving the structural integrity of proteins, which is crucial for maintaining proper functionality and cellular responses. Further research is needed to expand on these molecular mechanisms to evaluate proper mitigation strategies.</t>
  </si>
  <si>
    <t>[Roychowdhury, Prasun; Aftabuddin, Mohammad] Cent Inland Fisheries Res Inst CIFRI ICAR, Barakpur, India; [Roychowdhury, Prasun; Pati, Manoj Kumar] Vidyasagar Univ, Aquaculture Management &amp; Technol, Midnapore, India</t>
  </si>
  <si>
    <t>Roychowdhury, P (corresponding author), Cent Inland Fisheries Res Inst CIFRI ICAR, Barakpur, India.;Roychowdhury, P (corresponding author), Vidyasagar Univ, Aquaculture Management &amp; Technol, Midnapore, India.</t>
  </si>
  <si>
    <t>ISTANBUL UNIV PRESS, FAC AQUATIC SCIENCES</t>
  </si>
  <si>
    <t>ORDU CAD 8, ISTANBUL, 34134, Turkiye</t>
  </si>
  <si>
    <t>2602-473X</t>
  </si>
  <si>
    <t>10.26650/ASE20231341460</t>
  </si>
  <si>
    <t>Marine &amp; Freshwater Biology</t>
  </si>
  <si>
    <t>Das, S; Khan, M; Roy, A; Roy, S; Dey, SK; Choudhury, SM</t>
  </si>
  <si>
    <t>Das, Siddhartha; Khan, Meheboob; Roy, Aparna; Roy, Sumita; Dey, Surya Kanta; Choudhury, Sujata Maiti</t>
  </si>
  <si>
    <t>Reusable nontoxic pyrimidine-based oleogelators: Phase selectivity and nanostructured structuring</t>
  </si>
  <si>
    <t>JOURNAL OF SURFACTANTS AND DETERGENTS</t>
  </si>
  <si>
    <t>cytotoxicity; gel; hydrogen bonding; nanostructure; phase selectivity</t>
  </si>
  <si>
    <t>LOW-MOLECULAR-MASS; DICHOLESTERYL-BASED GELATORS; ORGANIC-SOLVENTS; DRUG-DELIVERY; AMBIDEXTROUS GELATORS; AROMATIC SOLVENTS; ACID DERIVATIVES; SELF-ASSEMBLIES; CANDELILLA WAX; OIL</t>
  </si>
  <si>
    <t>Over the last few decades, scientists have been working hard to produce edible structural agents those can be used in food, cosmetics, agriculture, pharmaceuticals, and biotechnology. The supramolecular assembly of simple amphiphiles in presence of edible oil is the most ideal system for this purpose because the system has no harmful health consequences. We have attempted to address the aforementioned implications in this article by synthesizing a novel class of structuring agents 2-alkyl amino pyrimidine-4-carboxylic acid amphiphiles named 2-decylamino-pyrimidine-4-carboxylic acid (DPCA), 2-dodecylamino- pyrimidine-4-carboxylic acid (DDPCA) and 2-tetradecylamino-pyrimidine-4-carboxylic acid (TDPCA), using simple procedure. To our delight, the prepared amphiphiles self-assemble to a gel matrix in various vegetable oils and mineral oils. Microscopic analyses were used to investigate the nanostructured morphology of molecular gels. Rheological studies revealed that oleogels are mechanically processable and viscoelastic. Temperature dependent and concentration dependent proton nuclear magnetic resonance (1H-NMR) studies were performed to analyze the hydrogen bonding and pi-pi interactions. The study discovered that gelators act as reusable phase selective gelators (PSG) of oil in water-oil mixture. The (3-[4,5-dimethylthiazol-2-yl]-2,5 diphenyl tetrazolium bromide) (MTT) assay has proven that the synthetic oleogelators are nontoxic.</t>
  </si>
  <si>
    <t>[Das, Siddhartha; Khan, Meheboob; Roy, Aparna; Roy, Sumita] Vidyasagar Univ, Dept Chem &amp; Chem Technol, Midnapore 721102, India; [Dey, Surya Kanta; Choudhury, Sujata Maiti] Vidyasagar Univ, Dept Human Physiol, Midnapore, India</t>
  </si>
  <si>
    <t>Roy, S (corresponding author), Vidyasagar Univ, Dept Chem &amp; Chem Technol, Midnapore 721102, India.</t>
  </si>
  <si>
    <t>1097-3958</t>
  </si>
  <si>
    <t>1558-9293</t>
  </si>
  <si>
    <t>10.1002/jsde.12817</t>
  </si>
  <si>
    <t>Chemistry, Applied; Chemistry, Physical; Engineering, Chemical</t>
  </si>
  <si>
    <t>Chemistry; Engineering</t>
  </si>
  <si>
    <t>Mondal, R; Ghorai, G</t>
  </si>
  <si>
    <t>Mondal, Rahul; Ghorai, Ganesh</t>
  </si>
  <si>
    <t>m-step inverse fuzzy mixed competition graphs</t>
  </si>
  <si>
    <t>INTERNATIONAL JOURNAL OF MATHEMATICS FOR INDUSTRY</t>
  </si>
  <si>
    <t>Inverse fuzzy mixed competition graph; m-step inverse fuzzy mixed competition graph; m-step inverse fuzzy neighborhood graph; inverse fuzzy mixed economic competition graph</t>
  </si>
  <si>
    <t>The notion of competition graphs has a wide range of applications and has been utilized in designing various ecological problems and real-world competitions. Here, the idea of m-step inverse fuzzy mixed competition graphs has been introduced and some of its basic properties have been discussed. Also, some ideas associated with the concept of m-step inverse fuzzy mixed competition graphs, such as m-step inverse fuzzy neighborhood graph, inverse fuzzy mixed economic competition graph, and m-step inverse fuzzy mixed economic competition graph have been defined. Our motive was to focus on the real-life problems that can be properly addressed with graphs involving directed and undirected edges. In this case, the concept of an m-step fuzzy competition graph is not appropriate for solving these problems. However, the idea of m-step inverse fuzzy mixed competition graphs is more relevant to address them. An application of m-step inverse fuzzy mixed competition graphs has been identified as a suitable solution to a real-life problem.</t>
  </si>
  <si>
    <t>[Mondal, Rahul] Vivekananda Satavarshiki Mahavidyalaya, Dept Math, Jhargram 721513, W Bengal, India; [Ghorai, Ganesh] Vidyasagar Univ, Dept Appl Math, Midnapore 721102, India</t>
  </si>
  <si>
    <t>Ghorai, G (corresponding author), Vidyasagar Univ, Dept Appl Math, Midnapore 721102, India.</t>
  </si>
  <si>
    <t>2661-3352</t>
  </si>
  <si>
    <t>2661-3344</t>
  </si>
  <si>
    <t>10.1142/S2661335224500060</t>
  </si>
  <si>
    <t>Roshni, S; Biswas, D</t>
  </si>
  <si>
    <t>Roshni, Samiya; Biswas, Debasish</t>
  </si>
  <si>
    <t>Deconstructing Patriarchy and Notion of Woman: A Critical Study of Jhanjh Labongo Phool , a Bengali T.V Serial</t>
  </si>
  <si>
    <t>patriarchy; women; gender; Bengali TV serial; family; feminism</t>
  </si>
  <si>
    <t>COMPULSORY HETEROSEXUALITY; CRITICAL THINKING; LANDSCAPES; CREATIVITY; GENDER</t>
  </si>
  <si>
    <t>Like cinema, television serial is an important media that attracts and addresses a large section of audience. In recent time, the popularity of T.V serials are noticeable, as a result, the portrayal of women in these T.V serials needs to analyse critically. The article focuses on Jhanjh Labongo Phool (2016-17), a popular Bengali television series that portrays the transformation of a naive rural girl named Labongo Lata into a renowned chef in the city of Kolkata. Throughout her journey, she encounters various social, cultural issues and challenges that are important to analyse. The article investigates how patriarchy shapes the notion of women and how it is historically, politically, and culturally constructed, affirmed, and articulated. Additionally, it examines how this Bengali television series constructs the concept of women and reinforces patriarchal values. It also addresses the function of women in positions of power and how they manifest masculine attributes. This study follows a qualitative methodology and employs an analytical methodology.</t>
  </si>
  <si>
    <t>[Roshni, Samiya] Vidyasagar Univ, Womens Studies Ctr, Midnapore, W Bengal, India; [Biswas, Debasish] Vidyasagar Univ, Dept Business Adm, Midnapore, W Bengal, India</t>
  </si>
  <si>
    <t>Roshni, S (corresponding author), Vidyasagar Univ, Womens Studies Ctr, Midnapore, W Bengal, India.</t>
  </si>
  <si>
    <t>FORUM LITERARY VOICE</t>
  </si>
  <si>
    <t>Ludhiana</t>
  </si>
  <si>
    <t>Kitchlu Nagar, Ludhiana, PUNJAB, INDIA</t>
  </si>
  <si>
    <t>Samanta, KS; Rath, DS</t>
  </si>
  <si>
    <t>Samanta, Kalyan Sundar; Rath, Durga Sankar</t>
  </si>
  <si>
    <t>Retrieval effectiveness of Scopus and Web of Science based on three types of subject metadata: a comparative study in Economics</t>
  </si>
  <si>
    <t>[Samanta, Kalyan Sundar] Prabhu Jagatbandhu Coll, Librarian, Howrah 711302, W Bengal, India; [Rath, Durga Sankar] Vidyasagar Univ, Dept Lib &amp; Informat Sci, Midnapore 721102, W Bengal, India</t>
  </si>
  <si>
    <t>Samanta, KS (corresponding author), Prabhu Jagatbandhu Coll, Librarian, Howrah 711302, W Bengal, India.</t>
  </si>
  <si>
    <t>10.56042/alis.v70i3.2492</t>
  </si>
  <si>
    <t>Intersecting Knowledge With Landscape: Indigenous Agriculture, Sustainable Food Production and Response to Climate Change - A Case Study of Chuktia Bhunjia Tribe of Odisha, India</t>
  </si>
  <si>
    <t>Local knowledge; ecology; land classification; intercropping; crop rotation; soil management; rituals; beliefs; technology; food security; eco-restoration</t>
  </si>
  <si>
    <t>SOIL ORGANIC-MATTER; CROP-ROTATION; CARBON SEQUESTRATION; USE EFFICIENCY; WATER-USE; ADAPTATION; SYSTEMS; AGROFORESTRY; MANAGEMENT; EMISSIONS</t>
  </si>
  <si>
    <t>This paper documents the traditional agricultural practices of Chuktia Bhunjia tribe of Odisha, India, and attempts to comprehend as to how they negotiate with their ecosystem in order to ensure sustainable agricultural production and livelihood. Data, collected using interview and observation, reveal that agricultural practices of the Chuktia Bhunjia are revolved around local ecology, beliefs, rituals and knowledge. The knowledge-based intercropping, agroforestry, crop rotation, crop diversity, rain-water harvesting and management of soil fertility are important domains involved in their agricultural practices that are found to as a function of long-term observation and experiments, and are reported to have been culturally reproduced through self-engagement and ritualistic practices associated with agriculture. Their agriculture is assumed to have significance in maintaining the soil fertility and moisture, and reducing greenhouse gases and enhancing carbon sequestration whereby to balance the landscape. The agroforestry-based agricultural practices, coupled with belief, ritual and technology, is also found to make their agriculture cost-effective and ensure conservation of ecological system. Climate change-driven agricultural decision-making among them is found to as a tool not only to arrest their crop failure but also to ensure sustainable food production and livelihood. Yet, the expected evacuation of inhabitant including Chuktia Bhunjia due to 'tiger-project' is assumed to be a threat to their agricultural knowledge and other cultural domains. Therefore, owing to the livelihood implication of traditional agriculture, any attempt to integrate their agricultural knowledge base with scientific knowledge would ensure sustainability of both ecology and livelihood together.</t>
  </si>
  <si>
    <t>[Sabar, Bhubaneswar; Midya, Dipak K.] Vidyasagar Univ, Dept Anthropol, Midnapore 721102, W Bengal, India; [Sabar, Bhubaneswar] Erstwhile North Orissa Univ, Maharaja Sriram Chandra Bhanja Deo Univ, Dept Anthropol &amp; Tribal Studies, Baripada, India</t>
  </si>
  <si>
    <t>Sabar, B (corresponding author), Vidyasagar Univ, Dept Anthropol, Midnapore 721102, W Bengal, India.</t>
  </si>
  <si>
    <t>10.1177/00219096221099634</t>
  </si>
  <si>
    <t>Engineering of Cd x Zn1-x S Nanomaterials for Fabrication of Hybrid Cd x Zn1-x S/Si Heterojunction Broadband Photo Detectors</t>
  </si>
  <si>
    <t>ACS OMEGA</t>
  </si>
  <si>
    <t>PHOTODETECTOR; NANOWIRES</t>
  </si>
  <si>
    <t>Effective engineering of nanostructured materials provides a scope to explore the underlying photoelectric phenomenon completely. A simple cost-effective chemical reduction route is taken to grow nanoparticles of Cd x Zn1-x S with varying x = 1, 0.7, 0.5, 0.3, and 0. X-ray diffraction confirms the formation of different phases of targeted Cd x Zn1-x S, while field emission scanning electron microscopy shows change of nanostructures. Energy-dispersive X-ray spectroscopy determines the composition of the grown nanostructures as CdS, Cd0.7Zn0.3S, Cd0.5Zn0.5S, Cd0.3Zn0.7S, and ZnS. The optical absorption study determines the band gap shift with change of composition as well as with quantum confinement. The fluorescence lifetime for each nanomaterial is determined by time-correlated single photon counting, and Raman analysis revealed that ZnS exhibits the highest blue shift. Thus, there is a possibility to apply such grown nanomaterials for fabrication of heterojunction-based photodetectors (PDs) in a broad wavelength region. Cd x Zn1-x S nanostructures on n-type bulk silicon (Si) were successfully fabricated by a simple cost-effective spin coating method and present hybrid heterojunction PDs. The fabricated p-n heterojunction exhibits good rectifying behavior at room temperature under a reverse bias condition. Also, it was observed that the heterojunction is extremely sensitive to the irradiation of visible light because of the significant optoelectric effect with a good I light/I dark ratio (here, I light is the current in the presence of light and I dark is the dark current), quick response time (40 to 1005 ms), and good reproducibility (three cycles of I light/I dark for each sample are observed). It was observed that the responsivity value gradually decreases for x = 1 to x = 0 in the Cd x Zn1-x S/n-Si heterojunction, i.e., it is maximum for CdS NRs (6.74 x 10-3 mA/W), intermediate for Cd0.5Zn0.5S NPs (4.49 x 10-3 mA/W), and minimum for ZnS NPs (2.72161 x 10-4 mA/W). A similar nature has been observed in the case of detectivity, and hence it is a maximum (1.45 x 106 Jones) for CdS NRs. The photocurrent generation at the heterojunction showed excellent on and off switching behavior in the presence and absence of light illumination. Response time and gain change significantly with change of composition. The responsivity and detectivity with good photoresponse originated from the realization of special microstructures, enhancing the photoelectric behavior of Cd x Zn1-x S materials for applications in low-dimensional PDs covering a large wavelength region.</t>
  </si>
  <si>
    <t>[Das, Priyanka; Saha, Satyajit] Vidyasagar Univ, Dept Phys, Paschim Medinipur 721102, India; [Bhunia, Amit Kumar] Govt Gen Degree Coll Gopiballavpur II, Dept Phys, Jhargram 721517, India</t>
  </si>
  <si>
    <t>Das, P; Saha, S (corresponding author), Vidyasagar Univ, Dept Phys, Paschim Medinipur 721102, India.;Bhunia, AK (corresponding author), Govt Gen Degree Coll Gopiballavpur II, Dept Phys, Jhargram 721517, India.</t>
  </si>
  <si>
    <t>2470-1343</t>
  </si>
  <si>
    <t>ACS Omega</t>
  </si>
  <si>
    <t>10.1021/acsomega.4c06008</t>
  </si>
  <si>
    <t>Mukherjee, K; Saha, S; Karmakar, S; Dash, P</t>
  </si>
  <si>
    <t>Mukherjee, Kasturi; Saha, Sumana; Karmakar, Supratim; Dash, Pratik</t>
  </si>
  <si>
    <t>Uncovering spatial patterns of crime: a case study of Kolkata</t>
  </si>
  <si>
    <t>CRIME PREVENTION &amp; COMMUNITY SAFETY</t>
  </si>
  <si>
    <t>Murder; Theft; Snatching; Drugging; Pickpocketing; Crimes against women; Crime hotspots; Land use; GIS modeling; Kriging; Partial least square regression</t>
  </si>
  <si>
    <t>ENVIRONMENTAL-DESIGN; ROUTINE ACTIVITIES; TEMPORAL PATTERNS; VIOLENT CRIME; BRITISH CITY; URBAN-CRIME; ACCURACY; TRENDS; SPACE; PREVENTION</t>
  </si>
  <si>
    <t>Crime and criminality are global concerns that pose significant risks to societal well-being and quality of life. The urbanization process and the land use of cities profoundly influence the occurrence, types, and intensity of crimes. The design and management of cities play a pivotal role in ensuring overall safety and security. Although Kolkata is considered a safe city, recent reports from the National Crime Records Bureau highlight an increase in crimes against women, placing Kolkata as the second-highest in West Bengal. The crime rate in the city has witnessed a substantial 63.46% increase over the past three years, categorized as high on the rating scale. Little is known about the spatial and temporal patterns of crimes in Kolkata. This study aims to analyze the spatiotemporal patterns of murder, theft, snatching, drugging, pickpocketing, and crimes against women, using regression models. Using geoinformatics and geostatistics, the research also seeks to identify the spatial clustering, significant crime hotspots, and their shifting between 2015 and 2020 and also attempts to analyze the impact of urban land use on crime rates. The study reveals a significant temporal change in crime patterns over 30 years, with bare land consistently impacting crime across all categories. While thefts, snatching, pickpocketing, drugging, and crimes against women exhibit relatively stable hotspots, murder hotspots have increased and become more dispersed. The unique land use patterns of port areas influence murder, drugging, and crimes against women, while dense built-up spaces contribute to higher rates of pickpocketing.</t>
  </si>
  <si>
    <t>[Mukherjee, Kasturi; Saha, Sumana; Karmakar, Supratim] Adamas Univ, Dept Geog, Kolkata, West Bengal, India; [Dash, Pratik] Vidyasagar Univ, Khejuri Coll, Dept Geog, Purba Medinipur, West Bengal, India</t>
  </si>
  <si>
    <t>Karmakar, S (corresponding author), Adamas Univ, Dept Geog, Kolkata, West Bengal, India.</t>
  </si>
  <si>
    <t>PALGRAVE MACMILLAN LTD</t>
  </si>
  <si>
    <t>BASINGSTOKE</t>
  </si>
  <si>
    <t>BRUNEL RD BLDG, HOUNDMILLS, BASINGSTOKE RG21 6XS, HANTS, ENGLAND</t>
  </si>
  <si>
    <t>1460-3780</t>
  </si>
  <si>
    <t>1743-4629</t>
  </si>
  <si>
    <t>10.1057/s41300-024-00198-4</t>
  </si>
  <si>
    <t>Jana, S; Ghosh, A; Dey, A; Perveen, H; Maity, PP; Maji, S; Chattopadhyay, S</t>
  </si>
  <si>
    <t>Jana, Suryashis; Ghosh, Angshita; Dey, Arindam; Perveen, Hasina; Maity, Pikash Pratim; Maji, Shilpa; Chattopadhyay, Sandip</t>
  </si>
  <si>
    <t>n-Butanol fraction of moringa seed attenuates arsenic intoxication by regulating the uterine inflammatory and apoptotic pathways</t>
  </si>
  <si>
    <t>Arsenic; Moringa oleifera; n-Butanol fraction; ESR-alpha receptor; Caspase-3; Glucomoringin; Methyl glucosinolate</t>
  </si>
  <si>
    <t>INDUCED OXIDATIVE STRESS; LIPID-PEROXIDATION; SIGNALING PATHWAY; INDUCED OVARIAN; OLEIFERA; EXPRESSION; ACID; DEHYDROGENASE; ACTIVATION; PROTECTION</t>
  </si>
  <si>
    <t>The adverse effects of arsenic-chelating drugs make it essential to replace invasive chelating therapy with non-invasive oral therapy for arsenic poisoning. The goal of the current investigation was to determine whether the uterine damage caused by arsenization could be repaired by the n-butanol fraction of Moringa oleifera seed (NB). The rats were orally administered with arsenic (10 mg/kg BW) for the initial 8 days, followed by NB (50 mg/kg) for the next 8 days without arsenic. The probable existence of different components in NB was evaluated by HPLC-MS. Pro and anti-inflammatory indicators were assessed by RT-PCR and western blot. ESR-alpha was detected via immunostaining. Arsenic-exposed rats had significantly increased lipid peroxidation and decreased antioxidant enzyme activity, which were markedly reduced after NB treatment. Weaker ESR-alpha expression and distorted uterine histomorphology following arsenication were retrieved significantly by NB. Meaningful restoration by NB was also achieved for altered mRNA and protein expression of various inflammatory and apoptotic indicators. Molecular interaction predicted that glucomoringin and methyl glucosinolate of moringa interact with the catalytic site of caspase-3 in a way that limits its activity. However, NB was successful in restoring the arsenic-mediated uterine hypofunction. The glucomoringin and methyl glucosinolate present in n-butanol fraction may play a critical role in limiting apoptotic event in the arsenicated uterus.</t>
  </si>
  <si>
    <t>[Jana, Suryashis; Ghosh, Angshita; Dey, Arindam; Perveen, Hasina; Maji, Shilpa; Chattopadhyay, Sandip] Vidyasagar Univ, Dept Biomed Lab Sci &amp; Management &amp; Clin Nutr &amp; Die, Midnapore 721102, West Bengal, India; [Maity, Pikash Pratim] Haldia Inst Hlth Sci, Dept Med Lab Technol MLT, ICARE Complex, Hatiberia 721657, West Bengal, India</t>
  </si>
  <si>
    <t>Chattopadhyay, S (corresponding author), Vidyasagar Univ, Dept Biomed Lab Sci &amp; Management &amp; Clin Nutr &amp; Die, Midnapore 721102, West Bengal, India.</t>
  </si>
  <si>
    <t>10.1007/s11356-024-32213-4</t>
  </si>
  <si>
    <t>Khatun, J; Amanathulla, S; Pal, M</t>
  </si>
  <si>
    <t>Khatun, Jasminara; Amanathulla, Sk; Pal, Madhumangal</t>
  </si>
  <si>
    <t>Picture fuzzy cubic graphs and their applications</t>
  </si>
  <si>
    <t>JOURNAL OF INTELLIGENT &amp; FUZZY SYSTEMS</t>
  </si>
  <si>
    <t>Picture fuzzy cubic set; picture fuzzy cubic graph; R-union; R-join</t>
  </si>
  <si>
    <t>In the realm of handling imprecise information, picture fuzzy cubic sets have emerged as a more versatile tool compared to cubic sets, cubic intuitionistic fuzzy sets, and similar models. These sets offer better adaptability, precision and compatibility with the system than existing fuzzy models. This paper extends the concept of picture fuzzy cubic sets to the domain of graph theory, introducing the novel concept of picture fuzzy cubic graphs that surpasses previous results in terms of generality. The paper explores various essential operations, including composition, the Cartesian product, P-join, R-join, P-union, R-union of picture fuzzy cubic graphs. It also investigates the order and degree of picture fuzzy cubic graphs. Furthermore, this work presents two practical applications of picture fuzzy cubic graphs. The first application involves computing the impact of other companies on a specific company and the second application focuses on evaluating the overall impact within a group of companies.</t>
  </si>
  <si>
    <t>[Khatun, Jasminara; Pal, Madhumangal] Vidyasagar Univ, Dept Appl Math Oceanol &amp; Comp Programming, Midnapore 721102, India; [Amanathulla, Sk] Raghunathpur Coll, Dept Math, Raghunathpur, India</t>
  </si>
  <si>
    <t>IOS PRESS</t>
  </si>
  <si>
    <t>NIEUWE HEMWEG 6B, 1013 BG AMSTERDAM, NETHERLANDS</t>
  </si>
  <si>
    <t>1064-1246</t>
  </si>
  <si>
    <t>1875-8967</t>
  </si>
  <si>
    <t>J INTELL FUZZY SYST</t>
  </si>
  <si>
    <t>J. Intell. Fuzzy Syst.</t>
  </si>
  <si>
    <t>10.3233/JIFS-232523</t>
  </si>
  <si>
    <t>Technical efficiency and its determinants in regulating adolescents' coronavirus infection across Asian countries</t>
  </si>
  <si>
    <t>[Maity, Shrabanti] Vidyasagar Univ, Dept Econ, Midnapore, West Bengal, India; [Sinha, Anup] Karimganj Coll, Dept Commerce, Karimganj, Assam, India</t>
  </si>
  <si>
    <t>10.1038/s41598-023-45442-3</t>
  </si>
  <si>
    <t>Ghosh, Smita; Kar, Priyanka; Chakrabarti, Sudipta; Pradhan, Shrabani; Mondal, Keshab Chandra; Ghosh, Kuntal</t>
  </si>
  <si>
    <t>Pathogenicity of Vibrio harveyi and its biocontrol using bacteriophages</t>
  </si>
  <si>
    <t>[Ghosh, Smita; Kar, Priyanka; Chakrabarti, Sudipta; Pradhan, Shrabani; Ghosh, Kuntal] Midnapore City Coll, Dept Biol Sci, Midnapore, W Bengal, India; [Ghosh, Smita; Kar, Priyanka] Vidyasagar Univ, Biodivers &amp; Environm Studies Res Ctr, Midnapore City Coll, Midnapore, W Bengal, India; [Mondal, Keshab Chandra] Vidyasagar Univ, Dept Microbiol, Midnapore 721102, W Bengal, India</t>
  </si>
  <si>
    <t>Ghosh, K (corresponding author), Midnapore City Coll, Dept Biol Sci, Midnapore, W Bengal, India.</t>
  </si>
  <si>
    <t>10.1007/s43393-023-00178-z</t>
  </si>
  <si>
    <t>Khatun, Munira; Jana, Gopal Chandra; Nayim, Sk; Dhal, Asima; Patra, Anirudha; Hossain, Maidul</t>
  </si>
  <si>
    <t>Evaluation of the size effect of hydrophobic ring substitution on 9-O position of berberine on DNA binding</t>
  </si>
  <si>
    <t>JOURNAL OF BIOMOLECULAR STRUCTURE &amp; DYNAMICS</t>
  </si>
  <si>
    <t>[Khatun, Munira; Jana, Gopal Chandra; Nayim, Sk; Dhal, Asima; Patra, Anirudha; Hossain, Maidul] Vidyasagar Univ, Dept Chem, Midnapore, West Bengal, India; [Hossain, Maidul] Vidyasagar Univ, Dept Chem &amp; Chem Technol, Midnapore 721102, West Bengal, India</t>
  </si>
  <si>
    <t>Hossain, M (corresponding author), Vidyasagar Univ, Dept Chem &amp; Chem Technol, Midnapore 721102, West Bengal, India.</t>
  </si>
  <si>
    <t>0739-1102</t>
  </si>
  <si>
    <t>1538-0254</t>
  </si>
  <si>
    <t>10.1080/07391102.2023.2180436</t>
  </si>
  <si>
    <t>Biochemistry &amp; Molecular Biology; Biophysics</t>
  </si>
  <si>
    <t>Chakraborty, C; Pal, S; Pal, D</t>
  </si>
  <si>
    <t>Chakraborty, Chandrima; Pal, Soma; Pal, Dipyaman</t>
  </si>
  <si>
    <t>Violence against Scheduled Caste Women: The Case of Rape across States in India</t>
  </si>
  <si>
    <t>Scheduled caste women; rape; panel regression; education; police expenditure; economic growth</t>
  </si>
  <si>
    <t>EMPLOYMENT; EDUCATION; ARRESTS; CRIME</t>
  </si>
  <si>
    <t>The present paper is an endeavour to get in the brutal social practices against scheduled caste (SC) women in India utilizing state-level information over the period of nearly two decades, that is, 2001-2019. Besides law enforcement and punishment, there can be other compelling instruments for controlling rape against SC women. The result proposes interstate disparity in rape rate. Rape against SC women may be controlled with higher economic growth, education and expanding expenditure on police. The DEMARU states are still found slacking behind in controlling rape of SC women.</t>
  </si>
  <si>
    <t>[Chakraborty, Chandrima; Pal, Soma] Vidyasagar Univ, Dept Econ, Midnapore, India; [Pal, Dipyaman] Bethune Coll, Dept Econ, Kolkata, India; [Chakraborty, Chandrima] Vidyasagar Univ, Dept Econ, Midnapore 721102, India</t>
  </si>
  <si>
    <t>Chakraborty, C (corresponding author), Vidyasagar Univ, Dept Econ, Midnapore 721102, India.</t>
  </si>
  <si>
    <t>10.1177/00219096221149687</t>
  </si>
  <si>
    <t>At the Land Acquisition Office</t>
  </si>
  <si>
    <t>Mandal, GC; Saikh, F; Ray, SK; Pramanik, K; Giri, L</t>
  </si>
  <si>
    <t>Mandal, Gagan Chandra; Saikh, Forid; Ray, Sumit K.; Pramanik, Kuheli; Giri, Laboni</t>
  </si>
  <si>
    <t>Eliminating H2S and Any Sulfide Reagents from Qualitative Inorganic Analysis: An Ultimate Solution to a Long-Standing Problem</t>
  </si>
  <si>
    <t>JOURNAL OF CHEMICAL EDUCATION</t>
  </si>
  <si>
    <t>H2S Free Analysis; No Anionic Interference; Direct Detection of Na+; K+; NH4+; and Mg2+; Easier and Faster</t>
  </si>
  <si>
    <t>Detection of metal ions in solution has been performed without employing H2S or any other sulfide materials. The new method is free from the interference from anions. Identification of Na+, K+, and NH4 (+) has been made possible directly from an aqueous extract of the sample mixture. A technique has been developed to identify Mg2+ directly without group separation. Metal ions have been classified into four groups by sequential treatment with 5 N HCl, Na2SO4, and 5 N NaOH as group reagents. In comparison to the existing method, it is much faster and, at the same time, reliable enough.</t>
  </si>
  <si>
    <t>[Mandal, Gagan Chandra; Saikh, Forid; Ray, Sumit K.; Pramanik, Kuheli; Giri, Laboni] Vidyasagar Univ, Kharagpur Coll, Dept Chem, Kharagpur 721305, India</t>
  </si>
  <si>
    <t>Mandal, GC (corresponding author), Vidyasagar Univ, Kharagpur Coll, Dept Chem, Kharagpur 721305, India.</t>
  </si>
  <si>
    <t>0021-9584</t>
  </si>
  <si>
    <t>1938-1328</t>
  </si>
  <si>
    <t>10.1021/acs.jchemed.4c00223</t>
  </si>
  <si>
    <t>Chemistry, Multidisciplinary; Education, Scientific Disciplines</t>
  </si>
  <si>
    <t>Chemistry; Education &amp; Educational Research</t>
  </si>
  <si>
    <t>Sing, S; Das, A; Jana, G; Basu, A</t>
  </si>
  <si>
    <t>Sing, Shukdeb; Das, Arindam; Jana, Gouranga; Basu, Anirban</t>
  </si>
  <si>
    <t>Examining the interaction and inhibition of lysozyme fibrillation by chelerythrine through multispectroscopic and imaging studies</t>
  </si>
  <si>
    <t>JOURNAL OF MOLECULAR LIQUIDS</t>
  </si>
  <si>
    <t>Chelerythrine; Lysozyme; Amyloid</t>
  </si>
  <si>
    <t>HUMAN SERUM-ALBUMIN; AMYLOID FIBRILLATION; PROTEIN AGGREGATION; BINDING; FLUORESCENCE; FIBRILLOGENESIS; ALKALOIDS; MECHANISM; THERMODYNAMICS; TARTRAZINE</t>
  </si>
  <si>
    <t>Aggregation of proteins leads to amyloid fibrillogenesis which is related to various neurodegenerative dysfunctions. In the present work, interaction and impact of benzophenanthridine alkaloid chelerytherine (CHE) on fibrillogenesis of chicken egg white lysozyme (LYS) was examined employing various biophysical techniques. The intrinsic fluorescence of LYS was quenched upon addition of CHE. The mechanism of quenching was static in nature. From the FRET theory, we evaluated the distance between LYS and CHE and it was found to be 3.42 nm. Molecular docking analysis revealed the involvement of hydrogen bonding and hydrophobic interactions in the complexation process. The microenvironmental alteration around the protein residues upon binding with CHE was obtained from 3D-fluorescence and synchronous fluorescence spectroscopic analysis. The impact of CHE on amyloid fibrillation of LYS was studied using Thioflavin T fluorescence, congo red absorbance, FTIR analysis and AFM imaging studies. These results clearly revealed that the amyloid fibrillation of LYS was effectively inhibited by CHE. Nile red and 8-Anilino-1-napthalenesulphonic acid assays supported that CHE arrested the LYS fibrillation. In summary, our study reveals the antiamylodogenic potential of CHE which can be extremely useful for the development of new anti-amyloid therapeutics.</t>
  </si>
  <si>
    <t>[Sing, Shukdeb; Das, Arindam; Jana, Gouranga; Basu, Anirban] Vidyasagar Univ, Dept Chem &amp; Chem Technol, Midnapore 721102, India</t>
  </si>
  <si>
    <t>0167-7322</t>
  </si>
  <si>
    <t>1873-3166</t>
  </si>
  <si>
    <t>J MOL LIQ</t>
  </si>
  <si>
    <t>J. Mol. Liq.</t>
  </si>
  <si>
    <t>10.1016/j.molliq.2024.125678</t>
  </si>
  <si>
    <t>Mondal, U; Pal, M; Das, K</t>
  </si>
  <si>
    <t>Mondal, U.; Pal, M.; Das, K.</t>
  </si>
  <si>
    <t>INTERVAL-VALUED INTUITIONISTIC FUZZY SOFT GRAPHS WITH APPLICATION</t>
  </si>
  <si>
    <t>Keyword; Interval-valued intuitionistic fuzzy soft set; interval-valued intuitionistic fuzzy soft graph; Operations on interval-valued intuitionistic fuzzy soft graphs</t>
  </si>
  <si>
    <t>SET-THEORY; INDEX</t>
  </si>
  <si>
    <t>. The concept of interval-valued intuitionistic fuzzy soft sets and fuzzy graphs structure together constitute a new structure called an interval-valued intuitionistic fuzzy soft graph. The definitions of interval-valued intuitionistic fuzzy soft subgraph and strong interval-valued intuitionistic fuzzy soft graph are introduced with suitable examples. The degree of the good influence of a parameter in a fuzzy network and there is no influence by an interval number in the same system. Similarly, the effectiveness and non-effectiveness of the other fuzzy system on other parameters is measured by the concept of soft graphs in this article. Also, several different types of operations, including Cartesian product, strong product and composition on interval-valued intuitionistic fuzzy soft graphs are presented. Some related properties of these operations are investigated. Finally, we give a real-life application of interval-valued intuitionistic fuzzy soft graphs on social media and find out the most affected person in social media.</t>
  </si>
  <si>
    <t>[Mondal, U.; Pal, M.] Vidyasagar Univ, Dept Appl Math Oceanol &amp; Comp Programming, Midnapore 721102, India; [Das, K.] Belda Coll, Dept Math, Belda 721424, India</t>
  </si>
  <si>
    <t>Mondal, R. N.; Saha, S.</t>
  </si>
  <si>
    <t>MoS2-CZTS: a 2D-3D nanocomposite to enhance the photocatalytic performance in degradation of methylene blue dye</t>
  </si>
  <si>
    <t>CHALCOGENIDE LETTERS</t>
  </si>
  <si>
    <t>MoS2-CZTS; Nanocomposite; Solvothermal; Heterojunction; Photocatalytic activity; Methylene blue</t>
  </si>
  <si>
    <t>FACILE HYDROTHERMAL SYNTHESIS; MOLYBDENUM-DISULFIDE; AQUEOUS-SOLUTIONS; GRAPHENE OXIDE; MOS2; FABRICATION; FILMS; HETEROJUNCTION; ABSORPTION; COMPOSITE</t>
  </si>
  <si>
    <t>Cu2ZnSnS4 nanocrystals (CZTS NCs), MoS2 nanosheet (NS) and MoS2-CZTS nanocomposite (NC) have been synthesized using solvothermal route. Structural characterization of samples have been done by XRD, Raman spectroscopy, HR-TEM. Samples have optically characterized by UV-Vis absorption, photoluminescence (PL) and time co-related single photon counting (TCSPC) study. The XRD, HR-TEM and Raman spectroscopy established tetragonal kesterite phase for both CZTS NCs and MoS2-CZTS NC. Enhancement of efficiency of CZTS NCs to degrade methylene blue (MB) dye, illuminated by visible light, have been observed by loading 1 wt.% MoS2 NS and found to be similar to 100% in only 15 minutes. This is due to efficent transfer of charge carriers at p-CZTS and n-MoS2 heterojunction interface, confirmed by quenching of PL intensity and decrease in average lifetime of carriers.</t>
  </si>
  <si>
    <t>[Mondal, R. N.] Kharagpur Coll, Dept Phys, Kharagpur 721305, Paschim Medinip, India; [Mondal, R. N.; Saha, S.] Vidyasagar Univ, Dept Phys, Midnapore 721102, Paschim Medinip, India</t>
  </si>
  <si>
    <t>Mondal, RN (corresponding author), Kharagpur Coll, Dept Phys, Kharagpur 721305, Paschim Medinip, India.;Mondal, RN (corresponding author), Vidyasagar Univ, Dept Phys, Midnapore 721102, Paschim Medinip, India.</t>
  </si>
  <si>
    <t>VIRTUAL CO PHYSICS SRL</t>
  </si>
  <si>
    <t>BUCHAREST</t>
  </si>
  <si>
    <t>LATEA GHEORGHE STR, NO 16, C36 BUILDING, 9 FLR, AP 111, SECTOR 6, BUCHAREST, ROMANIA</t>
  </si>
  <si>
    <t>1584-8663</t>
  </si>
  <si>
    <t>10.15251/CL.2024.2110.771</t>
  </si>
  <si>
    <t>Materials Science, Multidisciplinary; Physics, Applied</t>
  </si>
  <si>
    <t>Materials Science; Physics</t>
  </si>
  <si>
    <t>Patra, S; Barai, AC; Kar, S; Bag, BG</t>
  </si>
  <si>
    <t>Patra, Soumen; Barai, Abir Chandan; Kar, Sukhendu; Bag, Braja Gopal</t>
  </si>
  <si>
    <t>First vesicular self-assembly of renewable nano-sized erucic acid in aqueous liquids: entrapment of fluorophores and study of antibacterial activity</t>
  </si>
  <si>
    <t>BIOMASS CONVERSION AND BIOREFINERY</t>
  </si>
  <si>
    <t>Self-assembly; Vesicles; Drug entrapment; Curcumin; Renewable; Nano</t>
  </si>
  <si>
    <t>BUILDING-BLOCKS; ANTICANCER DRUG; SOFT VESICLES; CURCUMIN; WATER; POLYMERS; DELIVERY; DESIGN; GELS; NANOPARTICLES</t>
  </si>
  <si>
    <t>Erucic acid, a nano-sized long-chain omega-9-cis-mono-unsaturated 22C fatty acid, is isolable from various plants, especially from the seeds of Brassicaceae (e.g., rape seed or mustard seed). Isolation of erucic acid has recently been reported by us from the pseudobulb of Crepidium acuminatum. Herein, we report the first self-assembly of erucic acid in different aqueous binary liquids yielding vesicles. Several microscopic techniques such as scanning electron microscopy, high-resolution transmission electron microscopy, atomic force microscopy, optical microscopy, and X-ray diffraction studies were carried out to characterize the vesicular morphology. Encapsulation of various fluorophores as guests inside the self-assemblies of erucic acid was also demonstrated. The examples of the guests include cationic fluorophores rhodamine B, anionic fluorophore carboxyfluorescein, and cationic fluorescence active anticancer drug doxorubicin. Release of the entrapped fluorophores was demonstrated by treating with a vesicle-rupturing agent Triton X-100. On treatment with a composite of self-assembled erucic acid and curcumin, antibacterial activity was observed for both Gram-positive as well as Gram-negative bacteria. Therefore the vesicular self-assemblies generated from the renewable nano-sized erucic acid are useful for drug delivery applications as well as antibacterial activities with poorly water-soluble drugs.</t>
  </si>
  <si>
    <t>[Patra, Soumen; Barai, Abir Chandan; Kar, Sukhendu; Bag, Braja Gopal] Vidyasagar Univ, Dept Chem &amp; Chem Technol, Midnapore 721102, West Bengal, India</t>
  </si>
  <si>
    <t>Bag, BG (corresponding author), Vidyasagar Univ, Dept Chem &amp; Chem Technol, Midnapore 721102, West Bengal, India.</t>
  </si>
  <si>
    <t>2190-6815</t>
  </si>
  <si>
    <t>2190-6823</t>
  </si>
  <si>
    <t>10.1007/s13399-024-05399-3</t>
  </si>
  <si>
    <t>Mahapatra, Tanmoy; Ghorai, Ganesh; Pal, Madhumangal</t>
  </si>
  <si>
    <t>Competition graphs under interval-valued m-polar fuzzy environment and its application</t>
  </si>
  <si>
    <t>[Mahapatra, Tanmoy; Ghorai, Ganesh; Pal, Madhumangal] Vidyasagar Univ, Dept Appl Math Oceanol &amp; Comp Programming, Midnapore 721102, India; [Mahapatra, Tanmoy] Ramkrishna Mahato Govt Engn Coll, Dept Math, Purulia 723103, India</t>
  </si>
  <si>
    <t>10.1007/s40314-022-01987-z</t>
  </si>
  <si>
    <t>Ejegwa, P. A.; Jana, C.; Pal, M.</t>
  </si>
  <si>
    <t>Medical diagnostic process based on modified composite relation on pythagorean fuzzy multi-sets</t>
  </si>
  <si>
    <t>GRANULAR COMPUTING</t>
  </si>
  <si>
    <t>[Ejegwa, P. A.] Univ Agr, Dept Math Stat Comp Sci, PMB 2373, Makurdi, Nigeria; [Jana, C.; Pal, M.] Vidyasagar Univ, Dept Appl Math Oceanol &amp; Comp Programming, Midnapore 721102, W Bengal, India</t>
  </si>
  <si>
    <t>Jana, C (corresponding author), Vidyasagar Univ, Dept Appl Math Oceanol &amp; Comp Programming, Midnapore 721102, W Bengal, India.</t>
  </si>
  <si>
    <t>2364-4966</t>
  </si>
  <si>
    <t>2364-4974</t>
  </si>
  <si>
    <t>GRANULAR COMPUT</t>
  </si>
  <si>
    <t>Granul. Comput.</t>
  </si>
  <si>
    <t>10.1007/s41066-020-00248-w</t>
  </si>
  <si>
    <t>Computer Science, Artificial Intelligence; Computer Science, Information Systems</t>
  </si>
  <si>
    <t>How I Became Interested in Land Grab</t>
  </si>
  <si>
    <t>ELSEVIER IRELAND LTD</t>
  </si>
  <si>
    <t>CLARE</t>
  </si>
  <si>
    <t>ELSEVIER HOUSE, BROOKVALE PLAZA, EAST PARK SHANNON, CO, CLARE, 00000, IRELAND</t>
  </si>
  <si>
    <t>Manna, T; Guchhait, KC; Jana, D; Dey, S; Karmakar, M; Hazra, S; Manna, M; Jana, P; Panda, AK; Ghosh, C</t>
  </si>
  <si>
    <t>Manna, Tuhin; Guchhait, Kartik Chandra; Jana, Debarati; Dey, Subhamoy; Karmakar, Monalisha; Hazra, Subrata; Manna, Mousumi; Jana, Pradip; Panda, Amiya Kumar; Ghosh, Chandradipa</t>
  </si>
  <si>
    <t>Wastewater-based surveillance of Vibrio cholerae: Molecular insights on biofilm regulatory diguanylate cyclases, virulence factors and antibiotic resistance patterns</t>
  </si>
  <si>
    <t>MICROBIAL PATHOGENESIS</t>
  </si>
  <si>
    <t>Vibrio cholerae; Molecular epidemiology; Biofilm; Cyclic-di-GMP; Diguanylate cyclase (DGC); Virulence factors; Multi-drug resistance (MDR)</t>
  </si>
  <si>
    <t>CYCLIC-DI-GMP; POLYMERASE-CHAIN-REACTION; PSEUDOMONAS-AERUGINOSA; SLIME PRODUCTION; TOXIN CT; IDENTIFICATION; GENES; O1; PARAHAEMOLYTICUS; SUSCEPTIBILITY</t>
  </si>
  <si>
    <t>Vibrio cholerae is an inherent inhabitant of aquatic ecosystems. The Indian state of West Bengal, especially the Gangetic delta region is the highest cholera affected region and is considered as the hub of Asiatic cholera. V. cholerae were isolated from publicly accessible wastewater of Midnapore, West Bengal, India. Serotyping determined all isolates to be of non-O1/non-O139 serogroups. Moderate biofilm-forming abilities were noticed in most of the isolates (74.7 %) while, high biofilm formation was recorded for only 6.3 % isolates and 19 % of isolates exhibited low/non-biofilm-forming abilities. PCR-based screening of crucial diguanylate cyclases (DGCs) involved in cyclic-di-GMP-mediated biofilm signaling was performed. cdgH and cdgM were the most abundant DGCs among 93.7 % and 91.5 % of isolates, respectively. Other important DGCs, i.e., cdgK, cdgA, cdgL, and vpvC were present in 84 %, 75.5 %, 72 % and 68 % of isolates, respectively. Besides, the non-O1/non-O139 isolates were screened for the occurrence of virulence factor encoding genes. Moreover, among these non-O1/non-O139 isolates, two strains (3.17 %) harbored both ctxA and ctxB genes, which encode the cholera toxin associated with epidemic cholera. ompU was the most prevalent virulence factor, present in 24.8 % of isolates. Other virulence factors like, zot and st were found in 4.7 % and 9.5 % of isolates. Genes encoding tcp and ace were found to be PCR-negative for the isolates. Additionally, crucial virulence factor regulators, toxT, toxR and hapR were found to be PCR-positive in all the isolates. Antibiotic resistance patterns displayed further vulnerabilities with decreased sensitivity towards commonly used antibiotics with multiple antibiotic resistance index ranging between 0.37 and 0.62. The presence of cholera toxin-encoding multi-drug resistant (MDR) V. cholerae strains in environmental settings is alarming. High occurrence of DGCs are considered to encourage further investigations to use them as alternative therapeutic targets against MDR cholera pathogen due to their unique presence in bacterial systems.</t>
  </si>
  <si>
    <t>[Manna, Tuhin; Guchhait, Kartik Chandra; Jana, Debarati; Dey, Subhamoy; Karmakar, Monalisha; Hazra, Subrata; Manna, Mousumi; Jana, Pradip; Ghosh, Chandradipa] Vidyasagar Univ, Dept Human Physiol, Midnapore 721102, West Bengal, India; [Dey, Subhamoy] Vidyasagar Univ, Ctr Life Sci, Midnapore, West Bengal, India; [Panda, Amiya Kumar] Vidyasagar Univ, Dept Chem, Midnapore, West Bengal, India</t>
  </si>
  <si>
    <t>Ghosh, C (corresponding author), Vidyasagar Univ, Dept Human Physiol, Midnapore 721102, West Bengal, India.</t>
  </si>
  <si>
    <t>0882-4010</t>
  </si>
  <si>
    <t>1096-1208</t>
  </si>
  <si>
    <t>10.1016/j.micpath.2024.106995</t>
  </si>
  <si>
    <t>Immunology; Microbiology</t>
  </si>
  <si>
    <t>Acharya, I; Roy, S</t>
  </si>
  <si>
    <t>Acharya, Indranil; Roy, Souparna</t>
  </si>
  <si>
    <t>Sexual Politics in Select DNT Autobiographies: A Study</t>
  </si>
  <si>
    <t>Marginalization; gender; caste; violence; tribe; criminal</t>
  </si>
  <si>
    <t>The implementation of the Criminal Tribes Act by the British Government in 1871 branded certain nomadic and semi-nomadic tribes in India as born criminals who lived by thieving. Despite the official denotification of such tribes in 1952, the stigma associated with their names still remains and they still continue to face various discriminations and violations of human rights in the society. The sufferings of these communities remain mostly ignored by the government. They also hardly find any place in the books of historical, sociological and literary studies. However, the autobiographical narratives produced by writers themselves belonging to such tribes act as authentic documentation of the historical injustices and various casteist segregations faced by their people. But there is hardly any female writer from the nomadic tribes. As a result, the specific concerns of the women of such marginalized communities are even less known than those of their male counterparts. The predicament of the denotified and nomadic tribes (DNT) women is known only so far as it is represented by the male DNT writers. The present study is an attempt to understand the sexual politics and vulnerabilities of the DNT women as represented in the autobiographies of Laxman Gaikwad and Laxman Mane.</t>
  </si>
  <si>
    <t>[Acharya, Indranil] Vidyasagar Univ Midnapore, Dept English, Rangamati 721102, West Bengal, India; [Roy, Souparna] Chitta Mahato Mem Coll, Dept English, Jargo, West Bengal, India</t>
  </si>
  <si>
    <t>Acharya, I (corresponding author), Vidyasagar Univ Midnapore, Dept English, Rangamati 721102, West Bengal, India.</t>
  </si>
  <si>
    <t>10.1177/2455328X241253640</t>
  </si>
  <si>
    <t>Panchali, T; Dutta, A; Das, P; Khatun, A; Kar, R; Mondal, S; Mondal, KC; Chakrabarti, S; Ghosh, K; Pradhan, S</t>
  </si>
  <si>
    <t>Panchali, Titli; Dutta, Ananya; Das, Pipika; Khatun, Amina; Kar, Riya; Mondal, Subhadeep; Mondal, Keshab Chandra; Chakrabarti, Sudipta; Ghosh, Kuntal; Pradhan, Shrabani</t>
  </si>
  <si>
    <t>Amelioration of obesity induction by a high-fat diet and related inflammation by Phasa fish (Setipinna phasa) oil in BALB/c mice</t>
  </si>
  <si>
    <t>JOURNAL OF APPLIED BIOMEDICINE</t>
  </si>
  <si>
    <t>Adiponectin; Anti-inflammatory; Fatty acid; Leptin; Obesity; Phasa</t>
  </si>
  <si>
    <t>ADIPOSE-TISSUE; OMEGA-3-FATTY-ACIDS; RECEPTOR; HEALTH; DAMAGE</t>
  </si>
  <si>
    <t>We have extracted and characterized Phasa fish (Setipinna phasa) oil for the first time to evaluate the anti-obesity and related antiinflammatory effects on obese mice. Inbred male albino BALB/c mice were segregated into three categories: control (C), Obese control group (OC), and Phasa fish oil treated group (TX). To establish the potentiality of Setipinna phasa oil for its anti-obesity and anti-inflammatory properties, it was extracted and characterized using GC-MS method. To evaluate the anti-obesity effect, different parameters were considered, such as body weight, lipid composition, obesity, and obesity associated inflammation. The physicochemical characteristics of Phasa fish oil revealed that the oil quality was good because acid value, peroxide value, p-anisidine value, Totox value, refractive index, and saponification value were within the standard value range. The GC-MS study explored the presence of fatty acids beneficial to health such as Hexadec-9-enoic acid; Octadec-11-enoic acid; EPA, DHA, Methyl Linolenate, etc. The application of Setipinna phasa oil on the treated mice group acutely lowered body weight and serum lipid profile compared to the obese group. In connection with this, leptin, FAS, and pro-inflammatory cytokines TNF-alpha genes expression were downregulated in the treated group compared to the obese group. The Phasa oil treated group had an elevated expression of PPAR-alpha, adiponectin, LPL gene, and anti-inflammatory markers IL-10 and IL-1Ra compared to the obese group. This study suggests that Phasa fish oil, enriched with essential fatty acid, might be used as an anti-obesity and anti-inflammatory supplement.</t>
  </si>
  <si>
    <t>[Panchali, Titli; Dutta, Ananya; Das, Pipika; Khatun, Amina; Kar, Riya; Mondal, Subhadeep; Chakrabarti, Sudipta; Ghosh, Kuntal; Pradhan, Shrabani] Midnapore City Coll, Dept Paramed &amp; Allied Hlth Sci, Paschim Medinipur, W Bengal, India; [Mondal, Keshab Chandra] Vidyasagar Univ, Dept Microbiol, Midnapore, W Bengal, India</t>
  </si>
  <si>
    <t>Pradhan, S (corresponding author), Midnapore City Coll, Dept Paramed &amp; Allied Hlth Sci, Paschim Medinipur, W Bengal, India.</t>
  </si>
  <si>
    <t>UNIV SOUTH BOHEMIA</t>
  </si>
  <si>
    <t>CESKA BUDEJOVICE</t>
  </si>
  <si>
    <t>FAC HEALTH &amp; SOCIAL STUD, JIROVCOVA, CESKA BUDEJOVICE, 370 04, CZECH REPUBLIC</t>
  </si>
  <si>
    <t>1214-021X</t>
  </si>
  <si>
    <t>1214-0287</t>
  </si>
  <si>
    <t>10.32725/jab.2024.003</t>
  </si>
  <si>
    <t>Medicine, Research &amp; Experimental; Pharmacology &amp; Pharmacy</t>
  </si>
  <si>
    <t>Research &amp; Experimental Medicine; Pharmacology &amp; Pharmacy</t>
  </si>
  <si>
    <t>Mandal, Usha; Samanta, Shashanka Shekhar; Giri, Subhadip; Misra, Ajay</t>
  </si>
  <si>
    <t>Single alkali metal-doped hexalithioborazine complexes with exceptionally high value of polarizability and first hyperpolarizability: a DFT-based computational study</t>
  </si>
  <si>
    <t>THEORETICAL CHEMISTRY ACCOUNTS</t>
  </si>
  <si>
    <t>[Mandal, Usha; Samanta, Shashanka Shekhar; Giri, Subhadip; Misra, Ajay] Vidyasagar Univ, Dept Chem, Midnapore 721101, India</t>
  </si>
  <si>
    <t>1432-881X</t>
  </si>
  <si>
    <t>1432-2234</t>
  </si>
  <si>
    <t>10.1007/s00214-023-03066-w</t>
  </si>
  <si>
    <t>Chemistry, Physical</t>
  </si>
  <si>
    <t>Mandal, P; Samanta, S; Pal, M</t>
  </si>
  <si>
    <t>Mandal, Prasenjit; Samanta, Sovan; Pal, Madhumangal</t>
  </si>
  <si>
    <t>Large-scale alternative processing group decision-making under Pythagorean linguistic preference environment</t>
  </si>
  <si>
    <t>[Mandal, Prasenjit; Pal, Madhumangal] Vidyasagar Univ, Dept Appl Math Oceanol &amp; Comp Programming, Midnapore 721102, WB, India; [Samanta, Sovan] Tamralipta Mahavidyalaya, Dept Math, Tamluk 721636, WB, India</t>
  </si>
  <si>
    <t>Mandal, P (corresponding author), Vidyasagar Univ, Dept Appl Math Oceanol &amp; Comp Programming, Midnapore 721102, WB, India.</t>
  </si>
  <si>
    <t>10.1007/s00500-023-09012-z</t>
  </si>
  <si>
    <t>Kar, Priyanka; Das, Tridip Kr; Ghosh, Smita; Pradhan, Shrabani; Chakrabarti, Sudipta; Mondal, Keshab Ch; Ghosh, Kuntal</t>
  </si>
  <si>
    <t>Characterization of a Vibrio-infecting bacteriophage, VPMCC5, and proposal of its incorporation as a new genus in the Zobellviridae family</t>
  </si>
  <si>
    <t>VIRUS RESEARCH</t>
  </si>
  <si>
    <t>[Kar, Priyanka; Das, Tridip Kr; Ghosh, Smita; Pradhan, Shrabani; Chakrabarti, Sudipta; Ghosh, Kuntal] Midnapore City Coll, Dept Biol Sci, Midnapore 721129, W Bengal, India; [Mondal, Keshab Ch] Vidyasagar Univ, Dept Microbiol, Midnapore, W Bengal, India</t>
  </si>
  <si>
    <t>Ghosh, K (corresponding author), Midnapore City Coll, Dept Biol Sci, Midnapore 721129, W Bengal, India.</t>
  </si>
  <si>
    <t>0168-1702</t>
  </si>
  <si>
    <t>1872-7492</t>
  </si>
  <si>
    <t>10.1016/j.virusres.2022.198904</t>
  </si>
  <si>
    <t>Virology</t>
  </si>
  <si>
    <t>Acharyya, Nirupam; Panda, Surajit; Bandyopadhyay, Jatisankar</t>
  </si>
  <si>
    <t>Structural classification and monitoring development status of impounded water resources using spatial information technology of Purba Medinipur district, India</t>
  </si>
  <si>
    <t>SUSTAINABLE WATER RESOURCES MANAGEMENT</t>
  </si>
  <si>
    <t>[Acharyya, Nirupam; Bandyopadhyay, Jatisankar] Vidyasagar Univ, Dept Remote Sensing, Midnapore, W Bengal, India; [Acharyya, Nirupam; Bandyopadhyay, Jatisankar] Vidyasagar Univ, GIS, Midnapore, W Bengal, India; [Panda, Surajit] Ranchi Reg Off ECZ, Minist Environm Forest &amp; Climate Change, Ranchi, Bihar, India</t>
  </si>
  <si>
    <t>Acharyya, N (corresponding author), Vidyasagar Univ, Dept Remote Sensing, Midnapore, W Bengal, India.;Acharyya, N (corresponding author), Vidyasagar Univ, GIS, Midnapore, W Bengal, India.</t>
  </si>
  <si>
    <t>2363-5037</t>
  </si>
  <si>
    <t>2363-5045</t>
  </si>
  <si>
    <t>SUST WAT RESOUR MAN</t>
  </si>
  <si>
    <t>Sustain. Wat. Resour. Manag.</t>
  </si>
  <si>
    <t>10.1007/s40899-022-00699-w</t>
  </si>
  <si>
    <t>Shaw, Lipika; Das, Soumen Kumar; Roy, Sankar Kumar</t>
  </si>
  <si>
    <t>Location-allocation problem for resource distribution under uncertainty in disaster relief operations</t>
  </si>
  <si>
    <t>SOCIO-ECONOMIC PLANNING SCIENCES</t>
  </si>
  <si>
    <t>[Shaw, Lipika; Roy, Sankar Kumar] Vidyasagar Univ, Dept Appl Math Oceanol &amp; Comp Programming, Midnapore 721102, W Bengal, India; [Das, Soumen Kumar] Midnapore City Coll, Dept Pure &amp; Appl Sci, Bhadutala 721129, W Bengal, India</t>
  </si>
  <si>
    <t>0038-0121</t>
  </si>
  <si>
    <t>1873-6041</t>
  </si>
  <si>
    <t>10.1016/j.seps.2022.101232</t>
  </si>
  <si>
    <t>Economics; Management; Operations Research &amp; Management Science</t>
  </si>
  <si>
    <t>Business &amp; Economics; Operations Research &amp; Management Science</t>
  </si>
  <si>
    <t>Methods, Materials and Justifications</t>
  </si>
  <si>
    <t>In the Villages</t>
  </si>
  <si>
    <t>On the Electrical and Thermal Study of a MgZnO/ZnO HEMT for High Field Applications</t>
  </si>
  <si>
    <t>ZnO MODFET; ZnO HEMT; Velocity saturation model; DC characteristics; RF characteristics; MgZnO/ZnO heterostructure</t>
  </si>
  <si>
    <t>ZNO MATERIALS; PERFORMANCE; DEPENDENCE; MOBILITY</t>
  </si>
  <si>
    <t>In this work, a simple current equation of a HEMT based on MgZnO and ZnO heterojunction is proposed in the framework of electron velocity saturation. The mathematical formulation of drain current is presented as a function of mole fraction and device temperature. It is observed that the effect of the mole fraction of MgZnO has a significant role to modulate the drain current of the device. For example, the drain current is shifted by almost 9% for a change in mole fraction from 0.2 (236.5mA) to 0.5 (257.2mA) when no gate voltage is applied. In addition to this, the impact of environmental thermal variation is included in our study and a noticeable shift of drain current and other device parameter has been observed for a temperature range 300K to 500K. This work has also been extended to study the switching characteristics of the device in terms of mole fraction of MgZnO and ambient temperature. It is observed that the threshold voltage is shifted by 0.36 V for a change in mole fraction by 0.2.</t>
  </si>
  <si>
    <t>[Chakraborty, Saheb] Garhbeta Coll, Dept Phys, Paschim Medinipur 721121, W Bengal, India; [Chakraborty, Saheb; Pal, Radha Raman] Vidyasagar Univ, Dept Phys, Midnapore 721102, W Bengal, India; [Dutta, Sutanu] Vidyasagar Univ, Dept Elect, Midnapore 721102, W Bengal, India</t>
  </si>
  <si>
    <t>Dutta, S (corresponding author), Vidyasagar Univ, Dept Elect, Midnapore 721102, W Bengal, India.</t>
  </si>
  <si>
    <t>10.56042/ijpap.v62i4.7614</t>
  </si>
  <si>
    <t>Layek, U; Das, AD; Das, U; Karmakar, P</t>
  </si>
  <si>
    <t>Layek, Ujjwal; Das, Anirban Deep; Das, Uday; Karmakar, Prakash</t>
  </si>
  <si>
    <t>Spatial and Temporal Variations in Richness, Diversity and Abundance of Floral Visitors of Curry Plants (Bergera koenigii L.): Insights on Plant-Pollinator Interactions</t>
  </si>
  <si>
    <t>INSECTS</t>
  </si>
  <si>
    <t>butterfly; flower visitor; honeybee; Murraya koenigii; NDVI; solitary bee; stingless bee; spatiotemporal; visitor activity</t>
  </si>
  <si>
    <t>BUTTERFLY POLLINATION; FRUIT-SET; BEE; PERSPECTIVES; BIODIVERSITY; HONEYBEES; BEHAVIOR; CROPS</t>
  </si>
  <si>
    <t>The reproductive success of flowering plants relates to flower-visitor communities and plant-pollinator interactions. These traits are species- and region-specific and vary across regions, pollinator groups, and plant species. However, little literature exists on the spatiotemporal variation in visitor activity, especially in India. Here, we aimed to depict the spatial and temporal variation in visitor activity on the curry plants (Bergera koenigii). Data were collected at different daytime slots from three vegetation zones (confirmed by field surveys and normalized difference vegetation index values in remote sensing)-dense, medium-density, and low-density vegetation in West Bengal, India. The visitors' richness, diversity, and abundance were higher in the area with dense vegetation. Considering daytime patterns, higher values for these parameters were obtained during 10.00-14.00 h. For most visitors, the flower handling time was shorter, and the visitation rate was higher in dense vegetation areas (at 10.00-14.00 h) than in medium- and low-density vegetation areas. The proportions of different foraging categories varied over time. Vital pollinators were Apis cerana, Apis dorsata, Appias libythea, Halictus acrocephalus, Nomia iridescens, and Tetragonula iridipennis. However, the effectiveness of pollinators remained region-specific. Therefore, it can be concluded that floral visitors' richness, diversity, abundance, and plant-visitor interactions varied spatially with their surrounding vegetation types and also changed daytime-wise.</t>
  </si>
  <si>
    <t>[Layek, Ujjwal; Das, Anirban Deep; Das, Uday] Rampurhat Coll, Dept Bot, Birbhum 731224, India; [Karmakar, Prakash] Vidyasagar Univ, Dept Bot &amp; Forestry, Midnapore 721102, India</t>
  </si>
  <si>
    <t>2075-4450</t>
  </si>
  <si>
    <t>10.3390/insects15020083</t>
  </si>
  <si>
    <t>Magnon-induced transparency and amplification in a hybrid cavity-magnon system</t>
  </si>
  <si>
    <t>EUROPEAN PHYSICAL JOURNAL PLUS</t>
  </si>
  <si>
    <t>[Mukherjee, Kousik; Jana, Paresh Chandra] Vidyasagar Univ, Dept Phys, Midnapore 721102, India; [Mukherjee, Kousik] Govt Gen Degree Coll Gopiballavpur II, Dept Phys, Jhargram 721517, India</t>
  </si>
  <si>
    <t>Mukherjee, K (corresponding author), Vidyasagar Univ, Dept Phys, Midnapore 721102, India.;Mukherjee, K (corresponding author), Govt Gen Degree Coll Gopiballavpur II, Dept Phys, Jhargram 721517, India.</t>
  </si>
  <si>
    <t>2190-5444</t>
  </si>
  <si>
    <t>EUR PHYS J PLUS</t>
  </si>
  <si>
    <t>Eur. Phys. J. Plus</t>
  </si>
  <si>
    <t>10.1140/epjp/s13360-023-04783-8</t>
  </si>
  <si>
    <t>Detecting influential node in a network using neutrosophic graph and its application</t>
  </si>
  <si>
    <t>[Mahapatra, Rupkumar; Pal, Madhumangal] Vidyasagar Univ, Dept Appl Math Oceanol &amp; Comp Programming, Midnapore 721102, W Bengal, India; [Samanta, Sovan] Tamralipta Mahavidyalaya, Dept Math, Tamluk 721636, W Bengal, India</t>
  </si>
  <si>
    <t>Samanta, S (corresponding author), Tamralipta Mahavidyalaya, Dept Math, Tamluk 721636, W Bengal, India.</t>
  </si>
  <si>
    <t>10.1007/s00500-023-08234-5</t>
  </si>
  <si>
    <t>Das, Tridip K.; Pradhan, Shrabani; Chakrabarti, Sudipta; Mondal, Keshab Chandra; Ghosh, Kuntal</t>
  </si>
  <si>
    <t>Current status of probiotic and related health benefits</t>
  </si>
  <si>
    <t>APPLIED FOOD RESEARCH</t>
  </si>
  <si>
    <t>[Das, Tridip K.; Pradhan, Shrabani; Chakrabarti, Sudipta; Ghosh, Kuntal] Midnapore City Coll, Dept Biol Sci, Midnapore, W Bengal, India; [Mondal, Keshab Chandra] Vidyasagar Univ, Dept Microbiol, Midnapore, W Bengal, India</t>
  </si>
  <si>
    <t>2772-5022</t>
  </si>
  <si>
    <t>10.1016/j.afres.2022.100185</t>
  </si>
  <si>
    <t>Food Science &amp; Technology</t>
  </si>
  <si>
    <t>Ghosh, Suchismita; RituPareek; Sahu, Tarak Nath</t>
  </si>
  <si>
    <t>The Role of Corporate Governance and Company Specific Characteristics on Environmental Disclosure Practices in India</t>
  </si>
  <si>
    <t>NMIMS MANAGEMENT REVIEW</t>
  </si>
  <si>
    <t>[Ghosh, Suchismita] ICSSR, Dept Commerce, Vidyasagar 721102, West Bengal, India; [RituPareek] ICSSR, Dept Commerce, Midnapore 721102, West Bengal, India; [Sahu, Tarak Nath] Vidyasagar Univ, Dept Commerce, Midnapore 721102, West Bengal, India</t>
  </si>
  <si>
    <t>Ghosh, S (corresponding author), ICSSR, Dept Commerce, Vidyasagar 721102, West Bengal, India.</t>
  </si>
  <si>
    <t>NARSEE MONJEE INST MANAGEMENT STUDIES</t>
  </si>
  <si>
    <t>V L MEHTA RD, VILE PARLE WEST, MUMBAI, 400056, INDIA</t>
  </si>
  <si>
    <t>0971-1023</t>
  </si>
  <si>
    <t>10.53908/NMMR.300404</t>
  </si>
  <si>
    <t>Patra, S; Kar, S; Bag, BG</t>
  </si>
  <si>
    <t>Patra, Soumen; Kar, Sukhendu; Bag, Braja Gopal</t>
  </si>
  <si>
    <t>First Vesicular Self-Assembly of an Apocarotenoid Bixin in Aqueous Liquids and Its Antibacterial Activity</t>
  </si>
  <si>
    <t>CHEMISTRY-AN ASIAN JOURNAL</t>
  </si>
  <si>
    <t>Self-assembly; Carotenoid; Vesicles; Drug-entrapment; Curcumin; Anti-bacterial</t>
  </si>
  <si>
    <t>FATTY-ACID ESTERS; ANTICANCER DRUG; ORELLANA L.; CURCUMIN; CAROTENOIDS; VESICLES; DELIVERY; GELS; NANOPARTICLES; FLUOROPHORES</t>
  </si>
  <si>
    <t>Bixin 1 is the major constituent of the reddish carotenoids present in the seed-coat of Bixa orellana. The use of the extract of the seed-coat of Bixa orellana in food, cosmetics and garments is well known. The nano-sized long 24C chain molecule has nine conjugated double bonds having extended conjugation with the '-COOH' and '-COOMe' groups present at the two ends of the molecule. Herein, we report the first self-assembly of bixin in several aqueous liquids. The molecule undergoes spontaneous self-assembly in several liquids yielding vesicular self-assembly. Characterizations of the self-assemblies of bixin were carried out by various microscopic techniques, X-ray diffraction and FTIR studies. The critical vesicular concentrations (CVCs) of the compound carried out in DMSO-water in three different solvent ratios as 2: 1 (v/v), 1: 1 (v/v) and 1: 4 (v/v) were determined to be 100 mu M, 90 mu M and 60 mu M respectively indicating lower CVC values at higher proportion of water. Utilization of the vesicular self-assemblies of bixin have been demonstrated in the entrapment and release of fluorophores including the anticancer drugs doxorubicin and curcumin. Self-assembled bixin and curcumin loaded self-assembled bixin showed significant antibacterial activity with both Gram positive as well as Gram negative bacteria.</t>
  </si>
  <si>
    <t>[Patra, Soumen; Kar, Sukhendu; Bag, Braja Gopal] Vidyasagar Univ, Dept Chem &amp; Chem Technol, Midnapore 721102, West Bengal, India</t>
  </si>
  <si>
    <t>WILEY-V C H VERLAG GMBH</t>
  </si>
  <si>
    <t>WEINHEIM</t>
  </si>
  <si>
    <t>POSTFACH 101161, 69451 WEINHEIM, GERMANY</t>
  </si>
  <si>
    <t>1861-4728</t>
  </si>
  <si>
    <t>1861-471X</t>
  </si>
  <si>
    <t>DEC 16</t>
  </si>
  <si>
    <t>10.1002/asia.202400361</t>
  </si>
  <si>
    <t>Rakshit, Soumen; Mondal, Krishna Gopal; Jana, Paresh Chandra; Kamilya, Tapanendu; Saha, Satyajit</t>
  </si>
  <si>
    <t>Structural and optical properties of chemically synthesized copper oxide nanoparticles and their photocatalytic application</t>
  </si>
  <si>
    <t>[Rakshit, Soumen; Mondal, Krishna Gopal; Jana, Paresh Chandra; Saha, Satyajit] Vidyasagar Univ, Dept Phys, Midnapore 721102, West Bengal, India; [Kamilya, Tapanendu] Narajole Raj Coll, Dept Phys, Paschim Medinipur 721211, W Bengal, India</t>
  </si>
  <si>
    <t>Mondal, KG (corresponding author), Vidyasagar Univ, Dept Phys, Midnapore 721102, West Bengal, India.</t>
  </si>
  <si>
    <t>10.1007/s10854-023-11593-2</t>
  </si>
  <si>
    <t>Samanta, A; Jana, PC</t>
  </si>
  <si>
    <t>Samanta, Anjan; Jana, Paresh Chandra</t>
  </si>
  <si>
    <t>Probe response of photonic cavity with graphene sheet: slow light and fast light</t>
  </si>
  <si>
    <t>JOURNAL OF OPTICS-INDIA</t>
  </si>
  <si>
    <t>Induced transparency; FWM Intensity; Slow and fast light</t>
  </si>
  <si>
    <t>ELECTROMAGNETICALLY INDUCED TRANSPARENCY; MECHANICAL RESONATORS; AMPLIFICATION; TRANSISTORS</t>
  </si>
  <si>
    <t>We analyze the probe response at strong and weak coupling regimes and group delay of a probe field in a cavity optomechanical system. In present system is coupled with a graphene sheet. A strong THz pulse is generated by exploiting the nonlinearity of graphene. The interaction between optical and mechanical modes gives induced transparency under different detuning conditions, during the optical propagation of a signal. Due to the nonlinearity of graphene, the intensity of the four-wave mixing (FWM) dynamically changes under a driving laser source, more surprisingly. We can adjust the FWM intensity by controlling the power of the probe laser. In this report, we have studied the real and imaginary parts of the relative amplitude of the output field to the input field, the phase of the probe field, the transmission rate, and group delay. The phase of the transmitted field shows both anomalous and normal dispersion. In the presence of the graphene, the group velocity is more prominent both in positive and negative regimes which is unique with respect to other models. This study may be useful for ultrafast optical signal processing, and optical storage to design many device applications in quantum communication.</t>
  </si>
  <si>
    <t>[Samanta, Anjan] Sabang Sajanikanta Mahavidyalaya, Dept Phys, Lutunia 721166, India; [Samanta, Anjan; Jana, Paresh Chandra] Vidyasagar Univ, Dept Phys, Medinipur 721102, India</t>
  </si>
  <si>
    <t>Samanta, A (corresponding author), Sabang Sajanikanta Mahavidyalaya, Dept Phys, Lutunia 721166, India.;Samanta, A (corresponding author), Vidyasagar Univ, Dept Phys, Medinipur 721102, India.</t>
  </si>
  <si>
    <t>0972-8821</t>
  </si>
  <si>
    <t>0974-6900</t>
  </si>
  <si>
    <t>J OPT-INDIA</t>
  </si>
  <si>
    <t>J. Opt.-India</t>
  </si>
  <si>
    <t>10.1007/s12596-023-01422-4</t>
  </si>
  <si>
    <t>Optics</t>
  </si>
  <si>
    <t>Mondal, KG; Rakshit, S; Kar, BS; Saha, S; Jana, PC</t>
  </si>
  <si>
    <t>Mondal, Krishna Gopal; Rakshit, Soumen; Kar, Bappa Sona; Saha, Satyajit; Jana, Paresh Chandra</t>
  </si>
  <si>
    <t>Study of enhancing photocatalytic activity of solvothermal grown MoS2 nanocrystals under visible light irradiation by the influence of hydrogen peroxide</t>
  </si>
  <si>
    <t>JOURNAL OF PHOTOCHEMISTRY AND PHOTOBIOLOGY A-CHEMISTRY</t>
  </si>
  <si>
    <t>Photocatalytic mechanism; Solvothermal method; MoS 2 nanocrystals; Hydrogen peroxide; FEG-TEM</t>
  </si>
  <si>
    <t>DEGRADATION; PERFORMANCE; NANOSHEETS; EVOLUTION</t>
  </si>
  <si>
    <t>In this article, two-dimensional molybdenum sulfide has been synthesized by simple and conventional sol-vothermal methods and the combined effect of MoS2 nanocrystals and hydrogen peroxide in photocatalytic degradation of methylene blue (MB) in water has been investigated under visible light. Synthesized MoS2 nanocrystals have been characterised by FEG-TEM, FE-SEM, XRD, Raman, FTIR, UV-Vis absorption, PL and TCSPC studies. FEG-TEM and FE-SEM images confirm nanosheets/nanoflowers like morphology and Raman &amp; XRD patterns confirm the 2H-MoS2 phase. Layer-dependent absorption spectra and its Tauc plot were studied and the calculated band gap are found to be 1.73 eV and 1.43 eV for a few layers, bulk MoS2 respectively. This layer-dependent band gap energy is also verified by calculating electronic band structure for mono-layer, bi-layer and bulk MoS2 through density functional theory (DFT). The calculated average lifetime of in MoS2 is 1.5 ns. The kinetic study of the degradation of MB dye with MoS2 in the presence of H2O2 showed complete degradation of MB within 20 min. Whereas, pure MoS2 and H2O2 showed 28.27 % and 89.2 % degradation of MB within 210 min time intervals respectively. Thus, these results show MoS2 has good photocatalytic activity in the presence of H2O2.</t>
  </si>
  <si>
    <t>[Mondal, Krishna Gopal; Rakshit, Soumen; Saha, Satyajit; Jana, Paresh Chandra] Vidyasagar Univ, Dept Phys, Midnapore 721102, West Bengal, India; [Kar, Bappa Sona] Panskura Banamali Coll, Dept Phys, Panskura 721152, West Bengal, India</t>
  </si>
  <si>
    <t>ELSEVIER SCIENCE SA</t>
  </si>
  <si>
    <t>PO BOX 564, 1001 LAUSANNE, SWITZERLAND</t>
  </si>
  <si>
    <t>1010-6030</t>
  </si>
  <si>
    <t>1873-2666</t>
  </si>
  <si>
    <t>J PHOTOCH PHOTOBIO A</t>
  </si>
  <si>
    <t>J. Photochem. Photobiol. A-Chem.</t>
  </si>
  <si>
    <t>10.1016/j.jphotochem.2023.115239</t>
  </si>
  <si>
    <t>Maity, Debabrata; Dutta, Bidyarthi</t>
  </si>
  <si>
    <t>The formation of the subject Cell Biology from the perspective of linguistics: An analytical study</t>
  </si>
  <si>
    <t>[Maity, Debabrata] Khejuri Coll, Cent Lib, Khejuri 721431, West Bengal, India; [Dutta, Bidyarthi] Vidyasagar Univ, Dept Lib &amp; Informat Sci, Midnapore 721102, West Bengal, India</t>
  </si>
  <si>
    <t>Maity, D (corresponding author), Khejuri Coll, Cent Lib, Khejuri 721431, West Bengal, India.</t>
  </si>
  <si>
    <t>10.56042/alis.v70i2.1045</t>
  </si>
  <si>
    <t>Layek, Ujjwal; Das, Nandita; Kumar De, Suman; Karmakar, Prakash</t>
  </si>
  <si>
    <t>The botanical origin of cerumen and propolis of Indian stingless bees (Tetragonula iridipennis Smith): pollen spectrum does not accurately indicate latex and resin sources</t>
  </si>
  <si>
    <t>APIDOLOGIE</t>
  </si>
  <si>
    <t>[Layek, Ujjwal] Rampurhat Coll, Dept Bot, Rampurhat 731224, Birbhum, India; [Das, Nandita] Vidyasagar Univ, Ctr Life Sci, Midnapore 721102, India; [Kumar De, Suman; Karmakar, Prakash] Vidyasagar Univ, Dept Bot &amp; Forestry, Midnapore 721102, India</t>
  </si>
  <si>
    <t>SPRINGER FRANCE</t>
  </si>
  <si>
    <t>PARIS</t>
  </si>
  <si>
    <t>22 RUE DE PALESTRO, PARIS, 75002, FRANCE</t>
  </si>
  <si>
    <t>0044-8435</t>
  </si>
  <si>
    <t>1297-9678</t>
  </si>
  <si>
    <t>10.1007/s13592-023-00994-1</t>
  </si>
  <si>
    <t>Bisui, S; Hasanuzzaman, M; Sing, J; Midya, S; Shit, PK</t>
  </si>
  <si>
    <t>Bisui, Soumen; Hasanuzzaman, Md; Sing, Jagannath; Midya, Sujoy; Shit, Pravat Kumar</t>
  </si>
  <si>
    <t>Exploring the cooking energy biomass and its impact on women's health and quality of life in rural households: a micro-environmental study from West Bengal in India</t>
  </si>
  <si>
    <t>Indoor air pollutants; Rural kitchens; Standard living index; Clean cooking fuel; PM2.5; Women's quality of life</t>
  </si>
  <si>
    <t>AIR-POLLUTION; INDOOR AIR; EXPOSURES; FUEL</t>
  </si>
  <si>
    <t>Exposure to household air pollutants has become a significant environmental health concern in developing nations. This study aimed to understand the growing energy consumption within households, particularly for cooking, and its impact on women's health in rural areas. We conducted real-time monitoring of ambient particulate matter (PM2.5) and carbon monoxide (CO) levels in 61 rural kitchens in the Medinipur and Jhargram districts of West Bengal, India. Additionally, we calculated the Standard Living Index (SLI) based on socio-demographic factors from 540 households. Our analyses using ANOVA and chi-square methods revealed significant effects of cooking fuel types and locations on various health indicators among women. Eye irritation was prevalent across all fuel types, followed by shortness of breath (33%), coughing (22%), and dizziness (21%). Alarmingly, nearly half (48%) of children under five consistently accompanied their mothers during cooking, exposing them to health risks. Indoor air pollution, particularly from traditional fuels like fuelwood, cow dung cakes, and leaves, poses a grave threat to families. These fuels emit considerable amounts of PM2.5 and CO, with levels reaching as high as 565 mu g/m3 and 12.5 ppm, respectively, leading to respiratory and cardiovascular complications. Clean cooking fuel users, such as those using LPG, reported improved quality of life scores across physical, psychological, social, and environmental categories. This study highlights the urgent need to transition to cleaner cooking fuels to mitigate adverse health effects on women and children in rural households.</t>
  </si>
  <si>
    <t>[Bisui, Soumen; Hasanuzzaman, Md; Sing, Jagannath; Shit, Pravat Kumar] Raja N L Khan Womens Coll Autonomous, PG Dept Geog, Gope Palace, Midnapore 721102, W Bengal, India; [Bisui, Soumen; Hasanuzzaman, Md] Vidyasagar Univ, Raja Narendra Lal Khan Womens Coll Autonomous, Res Ctr Nat &amp; Appl Sci, Midnapore 721102, W Bengal, India; [Midya, Sujoy] Raja N L Khan Womens Coll Autonomous, PG Dept Zool, Gope Palace, Midnapore 721102, W Bengal, India</t>
  </si>
  <si>
    <t>Shit, PK (corresponding author), Raja N L Khan Womens Coll Autonomous, PG Dept Geog, Gope Palace, Midnapore 721102, W Bengal, India.</t>
  </si>
  <si>
    <t>10.1007/s10661-024-13335-1</t>
  </si>
  <si>
    <t>Kar, R; Panchali, T; Das, P; Dutta, A; Phoujdar, M; Pradhan, S</t>
  </si>
  <si>
    <t>Kar, Riya; Panchali, Titli; Das, Pipika; Dutta, Ananya; Phoujdar, Manisha; Pradhan, Shrabani</t>
  </si>
  <si>
    <t>Overview of the therapeutic efficacy of marine fish oil in managing obesity and associated metabolic disorders</t>
  </si>
  <si>
    <t>PHYSIOLOGICAL REPORTS</t>
  </si>
  <si>
    <t>fat oxidation; marine FO; metabolic disorders; obesity; omega-3 polyunsaturated fatty acids</t>
  </si>
  <si>
    <t>POLYUNSATURATED FATTY-ACIDS; C-REACTIVE PROTEIN; INSULIN-RESISTANCE; EXPRESSION; GHRELIN; ADIPONECTIN; LEPTIN; RISK; DIET; OMEGA-3-FATTY-ACIDS</t>
  </si>
  <si>
    <t>In the present scenario, obesity is a challenging health problem and its prevalence along with comorbidities are on the rise around the world. Ingestion of fish becomes trendy in daily meals. Recent research has shown that marine fish oil (FO) (found in tuna, sardines, and mackerel) may offer an alternative method for reducing obesity and problems associated with it. Marine FO rich in long-chain omega-3 polyunsaturated fatty acids (LC n-3 PUFA) and long-chain omega-6 polyunsaturated fatty acids (LC n-6 PUFA) plays an important role in reducing abnormalities associated with the metabolic syndrome and has a variety of disease-fighting properties, including cardioprotective activity, anti-atherosclerotic, anti-obesity, anti-cancer, anti-inflammatory activity. Studies in rodents and humans have indicated that LC n-3 PUFA potentially elicit a number of effects which might be useful for reducing obesity, including suppression of appetite, improvements in circulation, enhanced fat oxidation, energy expenditure, and reduced fat deposition. This review discusses the interplay between inflammation and obesity, and their subsequent regulation via the beneficial role of marine FO, suggesting an alternative dietary strategy to ameliorate obesity and obesity-associated chronic diseases.</t>
  </si>
  <si>
    <t>[Kar, Riya; Panchali, Titli; Das, Pipika; Dutta, Ananya; Phoujdar, Manisha] Vidyasagar Univ, Biodivers &amp; Environm Studies Res Ctr, Midnapore City Coll, Midnapore, West Bengal, India; [Kar, Riya; Panchali, Titli; Das, Pipika; Dutta, Ananya; Phoujdar, Manisha; Pradhan, Shrabani] Midnapore City Coll, Dept Paramed &amp; Allied Hlth Sci, Cent Res Lab, Midnapore, West Bengal, India</t>
  </si>
  <si>
    <t>Pradhan, S (corresponding author), Midnapore City Coll, Dept Paramed &amp; Allied Hlth Sci, Cent Res Lab, Midnapore 721129, West Bengal, India.</t>
  </si>
  <si>
    <t>2051-817X</t>
  </si>
  <si>
    <t>10.14814/phy2.70019</t>
  </si>
  <si>
    <t>Physiology</t>
  </si>
  <si>
    <t>Das, N; Mondal, R; Layek, U; Karmakar, P</t>
  </si>
  <si>
    <t>Das, Nandita; Mondal, Rajib; Layek, Ujjwal; Karmakar, Prakash</t>
  </si>
  <si>
    <t>Nectar sources of Asian honeybees (Apis cerana Fabricius) in West Bengal, India: determined by pollen analysis of honey and bee crop nectar</t>
  </si>
  <si>
    <t>PALYNOLOGY</t>
  </si>
  <si>
    <t>Apis cerana; Asian honeybee; bees' crop nectar; honey; melissopalynology; pollen analysis</t>
  </si>
  <si>
    <t>TRIGONA-IRIDIPENNIS SMITH; PALYNOLOGICAL CHARACTERIZATION; APIDAE MELIPONINI; HYMENOPTERA APIDAE; NATIVE POLLINATORS; COLOR PREFERENCES; FLOWER CONSTANCY; STINGLESS BEES; MELLIFERA L.; BEHAVIOR</t>
  </si>
  <si>
    <t>Understanding nectar sources is crucial for sustainable apiculture with Apis cerana, yet information on these sources remains limited. We conducted pollen analysis of honey and bees' ingested nectar (mainly crop content) to determine the nectar sources of this honeybee species in West Bengal, India. Diverse pollen types were obtained from honey (33) and crop-nectar samples (47). A few pollen types came from non-nectariferous plants, and most came from actual nectariferous plants. Predominant pollen types in honey samples were Calendula officinalis, Eucalyptus tereticornis, and Peltophorum pterocarpum. The very frequent pollen types obtained from crop nectar were Eucalyptus tereticornis, Peltophorum pterocarpum, and Tridax procumbens. In conclusion, versatile pollen types (that were obtained from honey and bees' crop nectar) indicate that the Asian honeybee (Apis cerana) is a generalist visitor, collecting nectar from a large number of plant species. Our results also show that pollen analysis of bees' crop nectar can provide vital information about their nectar sources (excluding a few pollen types of non-nectariferous plants) in addition to the traditional honey analysis.</t>
  </si>
  <si>
    <t>[Das, Nandita] Vidyasagar Univ, Ctr Life Sci, Midnapore, India; [Mondal, Rajib; Karmakar, Prakash] Vidyasagar Univ, Dept Bot &amp; Forestry, Midnapore 721102, India; [Layek, Ujjwal] Rampurhat Coll, Dept Bot, Rampurhat, India</t>
  </si>
  <si>
    <t>0191-6122</t>
  </si>
  <si>
    <t>1558-9188</t>
  </si>
  <si>
    <t>10.1080/01916122.2024.2398052</t>
  </si>
  <si>
    <t>Plant Sciences; Paleontology</t>
  </si>
  <si>
    <t>Layek, U; Bhandari, T; Das, A; Karmakar, P</t>
  </si>
  <si>
    <t>Layek, Ujjwal; Bhandari, Trisha; Das, Alokesh; Karmakar, Prakash</t>
  </si>
  <si>
    <t>Floral visitors of sesame (Sesamum indicum L.): Elucidating their nectar-robbing behaviour and impacts on the plant reproduction</t>
  </si>
  <si>
    <t>FUCHSIA-MAGELLANICA; LONG COROLLAS; TUBE LENGTH; ROBBERS; POLLINATORS; HUMMINGBIRDS; ASSOCIATION; POPULATIONS; BUMBLEBEES; CHEATERS</t>
  </si>
  <si>
    <t>Nectar robbing is common in angiosperms, especially in long tubular flowers or flowers with spurs that keep nectar out of reach of visitors. However, the robbing behaviour of bees is less understood. Here, we studied the sesame visitors, their robbing behaviour, and the impacts of robbing on plant reproductive fitness. Diverse insect species (primarily members of Hymenoptera) visited sesame flowers. The most effective pollinators were Amegilla zonata, Apis cerana, Apis dorsata, Apis florea, Ceratina binghami, Halictus acrocephalus and Xylocopa amethystina. Almost all visitors with variable percentages revealed the nectar-robbing phenomenon. Robbing activity depended on a complex of multiple attributes, including the visitor's body size, the corolla tube length, the availability and accessibility of nectar, and the resource-collecting task allocation of bees. Robbing activity varied according to flower-visiting species, flowering period and daytime. Robbing was comparatively higher in the late flowering period at 10.00-14.00 h. In the case of robbing visits, flower handling time was lower, and the visitation rate remained higher than non-robbing visits. Robbing visits did not significantly affect fruit and seed sets of sesame. Therefore, we can interpret the nectar-robbing interactions on sesame as commensal, with pollinators benefitting without altering the plant's reproductive fitness.</t>
  </si>
  <si>
    <t>[Layek, Ujjwal; Das, Alokesh] Rampurhat Coll, Dept Bot, Birbhum, India; [Bhandari, Trisha; Karmakar, Prakash] Vidyasagar Univ, Dept Bot &amp; Forestry, Midnapore, India</t>
  </si>
  <si>
    <t>Karmakar, P (corresponding author), Vidyasagar Univ, Dept Bot &amp; Forestry, Midnapore, India.</t>
  </si>
  <si>
    <t>10.1371/journal.pone.0300398</t>
  </si>
  <si>
    <t>Failure mode and effects analysis in consensus-based GDM for surface-guided deep inspiration breath-hold breast radiotherapy for breast cancer under the framework of linguistic Z-number</t>
  </si>
  <si>
    <t>Failure mode and effect analysis; Group decision making; Consensus reaching process; Linguistic Z</t>
  </si>
  <si>
    <t>DECISION-MAKING; THERAPY; TOPSIS</t>
  </si>
  <si>
    <t>Most of the cancer patients cannot get the usual treatment in the advanced stage of the disease. In particular, for breast cancer, it is to use a special kind of radiation that targets the tumor while the patient holds their breath. This is called surface-guided (SG) breast radiotherapy (RT) with deep inspiration breath-hold (DIBH). This treatment is very complicated and different from the normal way of treating breast cancer. It can also have many errors and problems that are not well-studied or understood. To prevent these problems, we need to use a method called failure mode and effects analysis (FMEA). This method helps us find and rank the possible risks and how to avoid them. In keeping with this aim, this paper studies consensus-reaching process-based group decision-making (GDM) with completely unknown risk factors' weights and the gained -lost dominance score (GLDS)-based ranking process. We cannot avoid the uncertainty related to relativity information in medical science. Therefore, in this study, we offer the experts to provide their opinions using the linguistic Z number (LZN) because LZN is designed to capture such types of information in medical science. For the consensus-reaching process (CRP), the relativity among experts is considered for consensus measurement, and the minimum adjustment sum with group consensus opinion-based feedback is offered. For unknown weight of risk factors, we don't know how much each risk factor weighs. So, we use a method that combines two ways of calculating weights. One way is a subjective weight computation process, and the other way is based on the data using entropy and division. Finally, we applied our proposed CRP-based GDM approach for ranking the identified FMs related to the SG DIBH RT process. We conduct sensitive, comparative, and statistical assessments to ensure our method is reasonable and practical.</t>
  </si>
  <si>
    <t>Samanta, S (corresponding author), Tamralipta Mahavidyalaya, Dept Math, Tamluk 721636, WB, India.</t>
  </si>
  <si>
    <t>10.1016/j.ins.2023.120016</t>
  </si>
  <si>
    <t>Das, Pinaki; Ghosh, Sudeshna; Paria, Bibek</t>
  </si>
  <si>
    <t>Multidimensional poverty in India: patterns of reduction across population subgroups and geographical locations during 2005-06 and 2019-21</t>
  </si>
  <si>
    <t>[Das, Pinaki; Paria, Bibek] Vidyasagar Univ, Dept Econ, Kolkata 721102, West Bengal, India; [Ghosh, Sudeshna] Scottish Church Coll, Dept Econ, Kolkata 700006, West Bengal, India</t>
  </si>
  <si>
    <t>Ghosh, S (corresponding author), Scottish Church Coll, Dept Econ, Kolkata 700006, West Bengal, India.</t>
  </si>
  <si>
    <t>10.1007/s10708-023-10833-6</t>
  </si>
  <si>
    <t>Basu, Anirban</t>
  </si>
  <si>
    <t>Examining the effect of the crown ether, 18-crown-6, on lysozyme fibrillation</t>
  </si>
  <si>
    <t>[Basu, Anirban] Vidyasagar Univ, Dept Chem, Midnapore 721102, India</t>
  </si>
  <si>
    <t>10.1039/d2nj05900b</t>
  </si>
  <si>
    <t>Roy, Aparna; Das, Siddhartha; Khan, Meheboob; Roy, Sumita</t>
  </si>
  <si>
    <t>Pyridine-Based Gemini and Heterogemini Amphiphiles: Synthesis, Organogel Formation, Bioinspired Catalysis, Hydroxyl Ion Sensing, and Removal of Hazardous Pb(II) and Cd(II) Ions</t>
  </si>
  <si>
    <t>ACS SUSTAINABLE CHEMISTRY &amp; ENGINEERING</t>
  </si>
  <si>
    <t>[Roy, Aparna; Das, Siddhartha; Khan, Meheboob; Roy, Sumita] Vidyasagar Univ, Dept Chem &amp; Chem Technol, Midnapore 721102, India</t>
  </si>
  <si>
    <t>Roy, A; Roy, S (corresponding author), Vidyasagar Univ, Dept Chem &amp; Chem Technol, Midnapore 721102, India.</t>
  </si>
  <si>
    <t>2168-0485</t>
  </si>
  <si>
    <t>10.1021/acssuschemeng.2c04640</t>
  </si>
  <si>
    <t>Chemistry, Multidisciplinary; Green &amp; Sustainable Science &amp; Technology; Engineering, Chemical</t>
  </si>
  <si>
    <t>Chemistry; Science &amp; Technology - Other Topics; Engineering</t>
  </si>
  <si>
    <t>Maji, Durbar; Ghorai, Ganesh; Shami, Faria Ahmed</t>
  </si>
  <si>
    <t>RETRACTED: The Reformulated F-Index of Vertex and Edge F-Join of Graphs (Retracted Article)</t>
  </si>
  <si>
    <t>JOURNAL OF CHEMISTRY</t>
  </si>
  <si>
    <t>Article; Retracted Publication</t>
  </si>
  <si>
    <t>[Maji, Durbar; Ghorai, Ganesh] Vidyasagar Univ, Dept Appl Math Oceanol &amp; Comp Programming, Midnapore 721102, India; [Shami, Faria Ahmed] Bangabandhu Sheikh Mujibur Rahman Sci &amp; Technol Un, Dept Math, Gopalganj, Bangladesh</t>
  </si>
  <si>
    <t>Shami, FA (corresponding author), Bangabandhu Sheikh Mujibur Rahman Sci &amp; Technol Un, Dept Math, Gopalganj, Bangladesh.</t>
  </si>
  <si>
    <t>2090-9063</t>
  </si>
  <si>
    <t>2090-9071</t>
  </si>
  <si>
    <t>J CHEM-NY</t>
  </si>
  <si>
    <t>J. Chem.</t>
  </si>
  <si>
    <t>10.1155/2022/2392109</t>
  </si>
  <si>
    <t>Theoretical Insights or the Lessons Learnt</t>
  </si>
  <si>
    <t>Maity, S; Senapati, T; Maiti, R</t>
  </si>
  <si>
    <t>Maity, Souvanik; Senapati, Tarakeshwar; Maiti, Ramkrishna</t>
  </si>
  <si>
    <t>Source identification and potential risk assessment of heavy metals in Damodar River in West Bengal, India</t>
  </si>
  <si>
    <t>Heavy metals; Land use; Carcinogenic risk; Total risk; Excess lifetime cancer risk</t>
  </si>
  <si>
    <t>EFFLUENTS</t>
  </si>
  <si>
    <t>Land use directly controls the river water pollution of a region throughout the year, as all the pollutants from the basin come through sewages (point source). The toxicity of heavy metals (HMs) causes health hazards to the people of the Damodar River basin. Arsenic, lead, copper, cadmium, chromium, nickel, mercury and zinc are tested from the collected water sample in the post-monsoon season to identify the sources of heavy metals that come from point sources of pollution. A detailed field-based study identifies arsenic contamination in rivers from industrial and mining areas. High nickel trace in water due to the sewages from iron and steel manufacturing industries in the study area. Lead in the Damodar River comes from mining areas. Mercury in water is a source from industrial and mining sites in Majhermana and Barakar. The Damodar River water quality has improved in the last 3-4 years. Only arsenic and nickel have higher concentrations above or near the permissible limit. Mercury and lead concentrations are also not satisfactory. Other heavy metals like cadmium, zinc, chromium, and copper are well below the detection limit, and in some cases, almost no concentration is found. The carcinogenic risk is maximum from the arsenic and nickel in water. 241-999 people per million population have a potential threat of cancer from arsenic and nickel in the cumulative total risk (TR) assessment. These heavy metals can enter our bodies by direct ingestion or inhalation. The excess lifetime cancer risk (ELCR) is also significantly higher for arsenic and nickel.</t>
  </si>
  <si>
    <t>[Maity, Souvanik; Maiti, Ramkrishna] Vidyasagar Univ, Dept Geog, Midnapore 721102, West Bengal, India; [Senapati, Tarakeshwar] Sidho Kanho Birsha Univ, Dept Environm Sci, Purulia 723104, West Bengal, India</t>
  </si>
  <si>
    <t>Maity, S (corresponding author), Vidyasagar Univ, Dept Geog, Midnapore 721102, West Bengal, India.</t>
  </si>
  <si>
    <t>10.1007/s40899-024-01113-3</t>
  </si>
  <si>
    <t>Sahu, TN; Maity, S; Yadav, M</t>
  </si>
  <si>
    <t>Sahu, Tarak Nath; Maity, Sudarshan; Yadav, Manjari</t>
  </si>
  <si>
    <t>Harsh realities of female migration during the COVID epoch</t>
  </si>
  <si>
    <t>BUSINESS AND SOCIETY REVIEW</t>
  </si>
  <si>
    <t>COVID-19; female migrant workers; financial instability; socio-economic condition; unemployment; violence and exploitation</t>
  </si>
  <si>
    <t>WORKERS; UNEMPLOYMENT; VIOLENCE; INDIA; LABOR</t>
  </si>
  <si>
    <t>The study examines the consequences of the COVID-19 pandemic-induced lockdown on the socio-economic status of 212 female migrant workers employed in the informal sector, originating from four underprivileged districts of West Bengal, India. The study assesses the changes in their scope of employment, financial instability, and the level of violence experienced within households and workplaces in the pre-pandemic and post-lockdown phases. We apply the binary logistic regression to identify factors influencing their low employment scope, the t-test to observe changes in their income as a consequence of the pandemic, and the Wilcoxon signed-rank test alongside effect size analysis to detect any rise in experiences of violence and exploitation against women. The findings suggest a notable decrease in their employment scope due to the absence of previous jobs, low wages, insecure workplaces, and family constraints; a decline in earnings; and an increased incidence of violence against them. The research suggests designing reforms to improve the current situation of female migrants, who represent one of the most marginalized sections of society. Formalizing the labor market and ensuring proper registration of these women would enable them to gain access to social security benefits, pension schemes, and relief packages that are vital for their well-being.</t>
  </si>
  <si>
    <t>[Sahu, Tarak Nath] Vidyasagar Univ, Dept Commerce, Midnapore 721102, W Bengal, India; [Maity, Sudarshan; Yadav, Manjari] Inst Cost Accountants India, Kolkata, W Bengal, India</t>
  </si>
  <si>
    <t>0045-3609</t>
  </si>
  <si>
    <t>1467-8594</t>
  </si>
  <si>
    <t>10.1111/basr.12342</t>
  </si>
  <si>
    <t>Ghosh, K (corresponding author), Midnapore City Coll, Dept Biol Sci, Midnapore, West Bengal, India.</t>
  </si>
  <si>
    <t>Redesigning of Lotka's Law with Simpson's 3/8 Rule</t>
  </si>
  <si>
    <t>[Basu, Anindya] Maharani Kasiswari Coll, Cent Lib, Kolkata, West Bengal, India; [Dutta, Bidyarthi] Vidyasagar Univ, Dept Lib &amp; Informat Sci, Kolkata, West Bengal, India</t>
  </si>
  <si>
    <t>Dutta, B (corresponding author), Vidyasagar Univ, Dept Lib &amp; Informat Sci, Kolkata, West Bengal, India.</t>
  </si>
  <si>
    <t>10.5530/jscires.12.1.017</t>
  </si>
  <si>
    <t>Karmakar, Asim Kumar; Jana, Sebak Kumar</t>
  </si>
  <si>
    <t>Governance Reforms from a Global Perspective Some Dimensions</t>
  </si>
  <si>
    <t>[Karmakar, Asim Kumar] Netaji Subhas Open Univ, Sch Profess Studies, Dept Econ, Kolkata, India; [Jana, Sebak Kumar] Vidyasagar Univ, Econ, Midnapore, W Bengal, India</t>
  </si>
  <si>
    <t>Karmakar, AK (corresponding author), Netaji Subhas Open Univ, Sch Profess Studies, Dept Econ, Kolkata, India.</t>
  </si>
  <si>
    <t>10.4324/9781003245797-11</t>
  </si>
  <si>
    <t>Barman, Haripriya; Pervin, Magfura; Roy, Sankar Kumar</t>
  </si>
  <si>
    <t>Impacts of green and preservation technology investments on a sustainable EPQ model during COVID-19 pandemic</t>
  </si>
  <si>
    <t>[Barman, Haripriya; Roy, Sankar Kumar] Vidyasagar Univ, Dept Appl Math Oceanol &amp; Comp Programming, Midnapore 721102, W Bengal, India; [Pervin, Magfura] Kingston Sch Management &amp; Sci, Dept Math &amp; Stat, Kolkata 700126, W Bengal, India</t>
  </si>
  <si>
    <t>10.1051/ro/2022102</t>
  </si>
  <si>
    <t>hybrid, Green Published</t>
  </si>
  <si>
    <t>Chatterjee, Poushali; Dasgupta, Rajarshi; Paul, Ashis Kumar</t>
  </si>
  <si>
    <t>Beach beauty in Bengal: Perception of scenery and its implications for coastal management in Purba Medinipur district, eastern India</t>
  </si>
  <si>
    <t>MARINE POLICY</t>
  </si>
  <si>
    <t>[Chatterjee, Poushali; Dasgupta, Rajarshi] East Calcutta Girls Coll, Dept Geog, P-237,Lake Town Link Rd, Kolkata 700089, W Bengal, India; [Paul, Ashis Kumar] Vidyasagar Univ, Dept Geog &amp; Environm Management, Medinipur 721102, W Bengal, India</t>
  </si>
  <si>
    <t>Dasgupta, R (corresponding author), East Calcutta Girls Coll, Dept Geog, P-237,Lake Town Link Rd, Kolkata 700089, W Bengal, India.</t>
  </si>
  <si>
    <t>0308-597X</t>
  </si>
  <si>
    <t>1872-9460</t>
  </si>
  <si>
    <t>10.1016/j.marpol.2022.105034</t>
  </si>
  <si>
    <t>Environmental Studies; International Relations</t>
  </si>
  <si>
    <t>Environmental Sciences &amp; Ecology; International Relations</t>
  </si>
  <si>
    <t>Chakraborty, S; Banerjee, S; Chatterjee, A; Mallick, PH</t>
  </si>
  <si>
    <t>Chakraborty, Souraditya; Banerjee, Swastika; Chatterjee, Aritri; Mallick, Priyanka Halder</t>
  </si>
  <si>
    <t>People's perceptions and attitudes towards human-elephant conflicts and mitigation practices in the western part of southern West Bengal, India</t>
  </si>
  <si>
    <t>Asiatic elephant; Compensation schemes; Conservation challenges; Human-elephant coexistence; Participatory conservation; Wildlife management</t>
  </si>
  <si>
    <t>WILDLIFE; CONSERVATION; COMMUNITIES; MANAGEMENT; PATTERNS; LAIKIPIA; DISTRICT</t>
  </si>
  <si>
    <t>Human-elephant conflicts (HECs) have surged worldwide due to widespread forest habitat destruction and human encroachment. In India, where only a small portion of elephant habitats are protected, these conflicts are particularly severe. West Bengal, with its substantial elephant population, faces significant challenges in addressing HECs, especially in its southern regions where conflict incidences are increasing in recent times. This study aims to elucidate the perceptions of local inhabitants residing in and around conflict-prone zones of elephant habitats in southern West Bengal. A structured questionnaire was employed to gather insights from 204 individuals across four administrative districts in the western part of south West Bengal. Results revealed that socio-economic and demographic factors greatly influence attitudes towards conservation. Despite diverse mitigation practices in response to challenges like crop damage and property loss, dissatisfaction with compensation schemes persists. These findings underscore the complexity of human-elephant interactions in the region and emphasize the need for holistic approaches that consider both conservation and livelihood needs.</t>
  </si>
  <si>
    <t>[Chakraborty, Souraditya] Parimal Mitra Smriti Mahavidyalaya, Dept Zool, Jalpaiguri 735221, West Bengal, India; [Banerjee, Swastika; Chatterjee, Aritri; Mallick, Priyanka Halder] Vidyasagar Univ, Dept Zool, Midnapore 721101, West Bengal, India</t>
  </si>
  <si>
    <t>Chakraborty, S (corresponding author), Parimal Mitra Smriti Mahavidyalaya, Dept Zool, Jalpaiguri 735221, West Bengal, India.</t>
  </si>
  <si>
    <t>10.1007/s10708-024-11179-3</t>
  </si>
  <si>
    <t>Layek, Ujjwal; Kundu, Arijit; Das, Nandita; Mondal, Rajib; Karmakar, Prakash</t>
  </si>
  <si>
    <t>Intercropping with Pigeonpea (Cajanus cajan L. Millsp.): An Assessment of Its Influence on the Assemblage of Pollinators and Yield of Neighbouring Non-Leguminous Crops</t>
  </si>
  <si>
    <t>LIFE-BASEL</t>
  </si>
  <si>
    <t>[Layek, Ujjwal] Rampurhat Coll, Dept Bot, Birbhum 731224, India; [Kundu, Arijit; Mondal, Rajib; Karmakar, Prakash] Vidyasagar Univ, Dept Bot &amp; Forestry, Midnapore 721102, India; [Das, Nandita] Vidyasagar Univ, Ctr Life Sci, Midnapore 721102, India</t>
  </si>
  <si>
    <t>2075-1729</t>
  </si>
  <si>
    <t>10.3390/life13010193</t>
  </si>
  <si>
    <t>Biology; Microbiology</t>
  </si>
  <si>
    <t>Life Sciences &amp; Biomedicine - Other Topics; Microbiology</t>
  </si>
  <si>
    <t>Hor, Papan K.; Ghosh, Kuntal; Halder, Suman Kumar; Mondal, Subhadeep; Mondal, Keshab Chandra</t>
  </si>
  <si>
    <t>Evaluation of some effective potentialities of newly formulated rice fermented food using Elephantopus scaber L. rhizome as herbal starter</t>
  </si>
  <si>
    <t>[Hor, Papan K.; Halder, Suman Kumar; Mondal, Keshab Chandra] Vidyasagar Univ, Dept Microbiol, Midnapore 721102, West Bengal, India; [Mondal, Subhadeep] Vidyasagar Univ, Ctr Life Sci, Midnapore 721102, West Bengal, India; [Ghosh, Kuntal] Midnapore City Coll, Dept Biol Sci, Bhadutala 721129, West Bengal, India</t>
  </si>
  <si>
    <t>10.56042/ijeb.v60i09.65142</t>
  </si>
  <si>
    <t>Whole genome sequence analysis of Aeromonas-infecting bacteriophage AHPMCC7, a new species of genus Ahphunavirus and its application in Litopenaeus vannamei culture</t>
  </si>
  <si>
    <t>VIROLOGY</t>
  </si>
  <si>
    <t>[Ghosh, Smita; Kar, Priyanka; Chakrabarti, Sudipta; Pradhan, Shrabani; Ghosh, Kuntal] Midnapore City Coll, Dept Biol Sci, Midnapore, West Bengal, India; [Ghosh, Smita; Kar, Priyanka] Vidyasagar Univ, Biodivers &amp; Environm Studies Res Ctr, Midnapore City Coll, Midnapore, West Bengal, India; [Mondal, Keshab Chandra] Vidyasagar Univ, Dept Microbiol, Midnapore, West Bengal, India</t>
  </si>
  <si>
    <t>0042-6822</t>
  </si>
  <si>
    <t>1089-862X</t>
  </si>
  <si>
    <t>10.1016/j.virol.2023.109887</t>
  </si>
  <si>
    <t>Impact of COVID-19 lockdown on the water quality of the Damodar River, a tributary of the Ganga River in West Bengal</t>
  </si>
  <si>
    <t>[Maity, Souvanik; Maiti, Ramkrishna] Vidyasagar Univ, Dept Geog, Midnapore 721102, W Bengal, India; [Senapati, Tarakeshwar] Sidho Kanho Birsha Univ, Dept Environm Sci, Purulia 723104, W Bengal, India</t>
  </si>
  <si>
    <t>10.1007/s40899-022-00790-2</t>
  </si>
  <si>
    <t>Banerjee, Bidisha; Bag, Sudin</t>
  </si>
  <si>
    <t>RELATIONSHIP BETWEEN CREATIVITY, ADAPTIVE SELLING, AND SALES PERFORMANCE: THE MODERATING ROLE OF JOB SATISFACTION</t>
  </si>
  <si>
    <t>ASIAN ACADEMY OF MANAGEMENT JOURNAL</t>
  </si>
  <si>
    <t>[Banerjee, Bidisha] IMT Business Sch, POB 345006, Dubai, U Arab Emirates; [Bag, Sudin] Vidyasagar Univ, Dept Business Adm, Midnapore 721102, W Bengal, India</t>
  </si>
  <si>
    <t>Bag, S (corresponding author), Vidyasagar Univ, Dept Business Adm, Midnapore 721102, W Bengal, India.</t>
  </si>
  <si>
    <t>PENERBIT UNIV SAINS MALAYSIA</t>
  </si>
  <si>
    <t>PULAU PINANG</t>
  </si>
  <si>
    <t>PENERBIT UNIVERSITI SAINS MALAYSIA, PULAU PINANG, PINANG 11800, MALAYSIA</t>
  </si>
  <si>
    <t>1394-2603</t>
  </si>
  <si>
    <t>1985-8280</t>
  </si>
  <si>
    <t>10.21315/aamj2022.27.2.5</t>
  </si>
  <si>
    <t>Clever Dialogues of the Politicians</t>
  </si>
  <si>
    <t>Das, TK; Kar, P; Panchali, T; Khatun, A; Dutta, A; Ghosh, S; Chakrabarti, S; Pradhan, S; Mondal, KC; Ghosh, K</t>
  </si>
  <si>
    <t>Das, Tridip Kumar; Kar, Priyanka; Panchali, Titli; Khatun, Amina; Dutta, Ananya; Ghosh, Smita; Chakrabarti, Sudipta; Pradhan, Shrabani; Mondal, Keshab Chandra; Ghosh, Kuntal</t>
  </si>
  <si>
    <t>Anti-obesity potentiality of Lactiplantibacillus plantarum E2_MCCKT isolated from a fermented beverage, haria: a high fat diet-induced obese mice model study</t>
  </si>
  <si>
    <t>WORLD JOURNAL OF MICROBIOLOGY &amp; BIOTECHNOLOGY</t>
  </si>
  <si>
    <t>Adipocytogenesis; Anti-obesity; Lipid profile; Probiotic</t>
  </si>
  <si>
    <t>LACTOBACILLUS-PLANTARUM; IN-VITRO; PROBIOTIC CHARACTERISTICS; INSULIN-RESISTANCE; GENE-EXPRESSION; GUT MICROBIOTA; INFLAMMATION; ADIPONECTIN; LEPTIN; PATHOPHYSIOLOGY</t>
  </si>
  <si>
    <t>Obesity is a growing epidemic worldwide. Several pharmacologic drugs are being used to treat obesity but these medicines exhibit side effects. To find out the alternatives of these drugs, we aimed to assess the probiotic properties and anti-obesity potentiality of a lactic acid bacterium E2_MCCKT, isolated from a traditional fermented rice beverage, haria. Based on the 16S rRNA sequencing, the bacterium was identified as Lactiplantibacillus plantarum E2_MCCKT. The bacterium exhibited in vitro probiotic activity in terms of high survivability in an acidic environment and 2% bile salt, moderate auto-aggregation, and hydrophobicity. Later, E2_MCCKT was applied to obese mice to prove its anti-obesity potentiality. Adult male mice (15.39 +/- 0.19 g) were randomly divided into three groups (n = 5) according to the type of diet: normal diet (ND), high-fat diet (HFD), and HFD supplemented with E2_MCCKT (HFT). After four weeks of bacterial treatment on the obese mice, a significant reduction of body weight, triglyceride, and cholesterol levels, whereas, improvements in serum glucose levels were observed. The bacterial therapy led to mRNA up-regulation of lipolytic transcription factors such as peroxisome proliferator-activated receptor-alpha which may increase the expression of fatty acid oxidation-related genes such as acyl-CoA oxidase and carnitine palmitoyl-transferase-1. Concomitantly, both adipocytogenesis and fatty acid synthesis were arrested as reflected by the down-regulation of sterol-regulatory element-binding protein-1c, acetyl-CoA carboxylase, and fatty acid synthase genes. In protein expression study, E2_MCCKT significantly increased IL-10 expression while decreasing pro-inflammatory cytokine (IL-1Ra and TNF-alpha) expression. In conclusion, the probiotic Lp. plantarum E2_MCCKT might have significant anti-obesity effects on mice.</t>
  </si>
  <si>
    <t>[Das, Tridip Kumar; Kar, Priyanka; Panchali, Titli; Khatun, Amina; Dutta, Ananya; Ghosh, Smita; Chakrabarti, Sudipta; Pradhan, Shrabani; Ghosh, Kuntal] Midnapore City Coll, Dept Biol Sci, Midnapore 721129, W Bengal, India; [Das, Tridip Kumar; Kar, Priyanka; Panchali, Titli; Khatun, Amina; Dutta, Ananya; Ghosh, Smita] Vidyasagar Univ, Biodivers &amp; Environm Studies Res Ctr, Midnapore City Coll, Midnapore, W Bengal, India; [Mondal, Keshab Chandra] Vidyasagar Univ, Dept Microbiol, Midnapore 721102, W Bengal, India</t>
  </si>
  <si>
    <t>0959-3993</t>
  </si>
  <si>
    <t>1573-0972</t>
  </si>
  <si>
    <t>10.1007/s11274-024-03983-3</t>
  </si>
  <si>
    <t>Kundu, A; Bisui, S; Layek, U; Karmakar, P</t>
  </si>
  <si>
    <t>Kundu, Arijit; Bisui, Sourabh; Layek, Ujjwal; Karmakar, Prakash</t>
  </si>
  <si>
    <t>Studies in the seed ecology and seedling phenology of Andrographis paniculata (Brum. f.) Wall. ex Nees in West Bengal, India</t>
  </si>
  <si>
    <t>eophyll; paracotyledon; scarification; seedling phenology; seed dormancy; seed viability</t>
  </si>
  <si>
    <t>GERMINATION; PLANT; ANTIOXIDANT; SURVIVAL; DORMANCY; BEHAVIOR; EXTRACT</t>
  </si>
  <si>
    <t>Andrographis paniculata (Brum. f.) Wall. ex Nees is an important medicinal plant of tropical Asia and has been used widely for a long time for different clinical ailments. Despite profuse flowering and a high percentage of fruit set, the number of seedlings in the natural population is the bare minimum. The knowledge regarding the seed ecology and seedling phenology of A. paniculata , is needed to formulate conservation strategies for the species. Therefore, a detailed study on seed ecology and seedling phenology has been conducted. During seed ecological studies, seed production, seed-set percentage, seed-ovule ratio, mechanism of seed dispersal, seed structure along with germination status, viability, dormancy and its breaking, and percentage of moisture content loss have been studied. Seeds exhibit some kind of dormancy [germination percentage (GP) = 28.51 +/- 0.98, mean germination time (MGT) = 33.07 +/- 0.89 days, and germination index (GI) = 0.73 +/- 0.08] which can be effectively overcome through acid scarification using H 2 SO 4 and hot water treatment. The species shows epigealphanerocotylar germination. The hypocotyls exhibit rapid growth, and cotyledons emerged at 7.52 +/- 0.27 TARA (Time After Radicle Appearance in days). Seedling is characterised by a thickened, hairy hypocotyl, a distinct collet, a pair of paracotyledons, and three pairs of eophylls in opposite decussate phyllotaxy. The studies on seed ecology and seedling phenology play a significant role in understanding how the shortening of the inception period enhances the germination status, and distinct seedling morphology provides the opportunity to formulate conservation strategies in their wild habitat.</t>
  </si>
  <si>
    <t>[Kundu, Arijit; Bisui, Sourabh; Karmakar, Prakash] Vidyasagar Univ, Dept Bot &amp; Forestry, Midnapore 721102, West Bengal, India; [Layek, Ujjwal] Rampurhat Coll, Dept Bot, Birbhum 731224, West Bengal, India</t>
  </si>
  <si>
    <t>Karmakar, P (corresponding author), Vidyasagar Univ, Dept Bot &amp; Forestry, Midnapore 721102, West Bengal, India.</t>
  </si>
  <si>
    <t>10.14719/pst.2678</t>
  </si>
  <si>
    <t>Samui, Rajesh; Bhunia, Amit Kumar; Saha, Satyajit</t>
  </si>
  <si>
    <t>Study of enhanced photodegradation of methylene blue in presence of grown SnSe nanoparticles</t>
  </si>
  <si>
    <t>[Samui, Rajesh; Saha, Satyajit] Vidyasagar Univ, Dept Phys, Paschim Medinipur 721102, W Bengal, India; [Bhunia, Amit Kumar] Govt Gen Degree Coll Gopiballavpur II, Dept Phys, Jhargram 721517, W Bengal, India</t>
  </si>
  <si>
    <t>Bhunia, AK (corresponding author), Govt Gen Degree Coll Gopiballavpur II, Dept Phys, Jhargram 721517, W Bengal, India.</t>
  </si>
  <si>
    <t>10.1007/s10854-023-10169-4</t>
  </si>
  <si>
    <t>Das Roy, Monami; Sana, Shib Sankar</t>
  </si>
  <si>
    <t>The return and remanufacturing rates in a multi-stage green supply chain system with rework, variable shipping cost and ordering cost reduction</t>
  </si>
  <si>
    <t>[Das Roy, Monami] Vidyasagar Univ, Haldia Govt Coll, Dept Math, Purba Medinipur, India; [Sana, Shib Sankar] Kishore Bharati Bhagini Nivedita Coll, Kolkata 700060, W Bengal, India</t>
  </si>
  <si>
    <t>Sana, SS (corresponding author), Kishore Bharati Bhagini Nivedita Coll, Kolkata 700060, W Bengal, India.</t>
  </si>
  <si>
    <t>10.1080/23302674.2022.2113174</t>
  </si>
  <si>
    <t>Layek, Ujjwal; Das, Alokesh; Karmakar, Prakash</t>
  </si>
  <si>
    <t>Supplemental Stingless Bee Pollination in Fennel (Foeniculum vulgare Mill.): An Assessment of Impacts on Native Pollinators and Crop Yield</t>
  </si>
  <si>
    <t>FRONTIERS IN SUSTAINABLE FOOD SYSTEMS</t>
  </si>
  <si>
    <t>[Layek, Ujjwal; Das, Alokesh] Rampurhat Coll, Dept Bot, Birbhum, India; [Karmakar, Prakash] Vidyasagar Univ, Dept Bot &amp; Forestry, Midnapore, India</t>
  </si>
  <si>
    <t>2571-581X</t>
  </si>
  <si>
    <t>FRONT SUSTAIN FOOD S</t>
  </si>
  <si>
    <t>Front. Sustain. Food Syst.</t>
  </si>
  <si>
    <t>10.3389/fsufs.2022.820264</t>
  </si>
  <si>
    <t>Jana, G; Sing, S; Das, A; Basu, A</t>
  </si>
  <si>
    <t>Jana, Gouranga; Sing, Shukdeb; Das, Arindam; Basu, Anirban</t>
  </si>
  <si>
    <t>Interaction of food colorant indigo carmine with human and bovine serum albumins: A multispectroscopic, calorimetric, and theoretical investigation</t>
  </si>
  <si>
    <t>Food colorant; Indigo carmine; Serum albumin</t>
  </si>
  <si>
    <t>MOLECULAR DOCKING; BINDING INTERACTIONS; CRYSTAL-STRUCTURE; FLUORESCENCE; SPECTROSCOPY; DRUG; DYE; AMARANTH; CARMOISINE; TARTRAZINE</t>
  </si>
  <si>
    <t>In this work we have studied the interaction of the food dye Indigo-Carmine (IndC) with the most studied model transport proteins i.e. human and bovine serum albumin (HSA &amp; BSA). A multispectroscopic approach was used to analyze the details of the binding process. The intrinsic fluorescence of both the albumins was significantly quenched by IndC and the quenching was both static and dynamic in nature with the former being dominant. The HSA-lndC and BSA-IndC distance after complexation was determined by Fo center dot rster resonance energy transfer (FRET) method which suggested efficient energy transfer from the albumins to IndC. Thermodynamics of serum protein-IndC complexation was estimated by isothermal titration calorimetry (ITC) which revealed that the binding was enthalpy driven. Circular dichroism (CD) and FTIR spectroscopy revealed that the binding of IndC induced secondary structural changes in both the serum proteins. Synchronous and 3D fluorescence spectroscopy revealed that the binding interaction caused microenvironmental changes of protein fluorophores. Molecular docking analysis suggested that hydrogen bonding and hydrophobic interactions are the major forces involved in the complexation process.</t>
  </si>
  <si>
    <t>[Jana, Gouranga; Sing, Shukdeb; Das, Arindam; Basu, Anirban] Vidyasagar Univ, Dept Chem, Midnapore 721102, India</t>
  </si>
  <si>
    <t>10.1016/j.ijbiomac.2023.129143</t>
  </si>
  <si>
    <t>Carbon dots (CDs): basics, recent potential biomedical applications, challenges, and future perspectives</t>
  </si>
  <si>
    <t>JOURNAL OF NANOPARTICLE RESEARCH</t>
  </si>
  <si>
    <t>[Hui, Shalmali] Vidyasagar Univ, Dept Chem, Hijli Coll, Kharagpur 721306, W Bengal, India</t>
  </si>
  <si>
    <t>Hui, S (corresponding author), Vidyasagar Univ, Dept Chem, Hijli Coll, Kharagpur 721306, W Bengal, India.</t>
  </si>
  <si>
    <t>1388-0764</t>
  </si>
  <si>
    <t>1572-896X</t>
  </si>
  <si>
    <t>10.1007/s11051-023-05701-w</t>
  </si>
  <si>
    <t>Chemistry, Multidisciplinary; Nanoscience &amp; Nanotechnology; Materials Science, Multidisciplinary</t>
  </si>
  <si>
    <t>Chemistry; Science &amp; Technology - Other Topics; Materials Science</t>
  </si>
  <si>
    <t>Agarwala, N; Maity, S; Sahu, TN</t>
  </si>
  <si>
    <t>Agarwala, Nidhi; Maity, Sudarshan; Sahu, Tarak Nath</t>
  </si>
  <si>
    <t>Efficiency of Indian banks in fostering financial inclusion: an emerging economy perspective</t>
  </si>
  <si>
    <t>JOURNAL OF FINANCIAL SERVICES MARKETING</t>
  </si>
  <si>
    <t>Financial inclusion; Bank efficiency; PMJDY; Data envelopment analysis; Technical efficiency</t>
  </si>
  <si>
    <t>EMPIRICAL-EVIDENCE; GLOBALIZATION; PERFORMANCE</t>
  </si>
  <si>
    <t>Financial inclusion paves the path towards inclusive growth. The Government of India launched the Pradhan Mantri Jan-Dhan Yojana (PMJDY) in 2014 with a similar aim. The present study measures efficiency of 25 banks using the data envelopment analysis to ascertain how the banks have functioned under the PMJDY scheme. The study has been conducted for a duration of 7 years beginning from the year the scheme was introduced in 2014-2015 till 2020-2021. Results of the empirical analysis have indicated that the performance of public sector banks has been better than the private banks in expanding financial inclusion under the PMJDY programme. Additionally, measurement of projection and shortfall of the outputs of banks has shown that very few banks have performed efficiently in furthering the objectives of PMJDY scheme. Thus, the overall evidences derived from the analysis suggest that the inefficient banks need to expand their banking services for the deprived. Regular assessment of efficiency would assist in identifying and thereby implementing necessary steps to overcome the obstacles in achieving the financial inclusion goals. This would also improve the efficiency level of the banks having low-efficiency scores. Moreover, banks have a social responsibility to properly implement the schemes initiated by the government.</t>
  </si>
  <si>
    <t>[Agarwala, Nidhi; Sahu, Tarak Nath] Vidyasagar Univ, Dept Commerce, Midnapore 721102, West Bengal, India; [Maity, Sudarshan] Inst Cost Accountants India, 12, Sudder St, Kolkata 700016, West Bengal, India</t>
  </si>
  <si>
    <t>Sahu, TN (corresponding author), Vidyasagar Univ, Dept Commerce, Midnapore 721102, West Bengal, India.</t>
  </si>
  <si>
    <t>1363-0539</t>
  </si>
  <si>
    <t>1479-1846</t>
  </si>
  <si>
    <t>10.1057/s41264-022-00203-7</t>
  </si>
  <si>
    <t>Agarwala, Varuna; Maity, Sudarshan; Sahu, Tarak Nath</t>
  </si>
  <si>
    <t>FEMALE ENTREPRENEURSHIP, EMPLOYABILITY AND EMPOWERMENT: IMPACT OF THE MUDRA LOAN SCHEME</t>
  </si>
  <si>
    <t>JOURNAL OF DEVELOPMENTAL ENTREPRENEURSHIP</t>
  </si>
  <si>
    <t>[Agarwala, Varuna; Sahu, Tarak Nath] Vidyasagar Univ, Dept Commerce, Midnapore 721102, W Bengal, India; [Maity, Sudarshan] Inst Cost Accountants India, 12 Sudder St, Kolkata 700016, W Bengal, India</t>
  </si>
  <si>
    <t>1084-9467</t>
  </si>
  <si>
    <t>1793-706X</t>
  </si>
  <si>
    <t>10.1142/S1084946722500054</t>
  </si>
  <si>
    <t>Dogra, Shovan; Pal, Madhumangal; Xin, Qin</t>
  </si>
  <si>
    <t>Picture fuzzy sub-hyperspace of a hyper vector space and its application in decision making problem</t>
  </si>
  <si>
    <t>AIMS MATHEMATICS</t>
  </si>
  <si>
    <t>[Dogra, Shovan; Pal, Madhumangal] Vidyasagar Univ, Dept Appl Math Oceanol &amp; Comp Programming, Midnapore 721102, India; [Xin, Qin] Univ Faroe Isl, Fac Sci &amp; Technol, Vestarabryggja 15,FO 100, Torshavn, Faroe Islands</t>
  </si>
  <si>
    <t>PO BOX 2604, SPRINGFIELD, MO 65801-2604 USA</t>
  </si>
  <si>
    <t>2473-6988</t>
  </si>
  <si>
    <t>AIMS MATH</t>
  </si>
  <si>
    <t>AIMS Math.</t>
  </si>
  <si>
    <t>10.3934/math.2022738</t>
  </si>
  <si>
    <t>Raut, S; Dutta, D; Bera, D; Samanta, R</t>
  </si>
  <si>
    <t>Raut, Subrata; Dutta, Dipanwita; Bera, Debarati; Samanta, Rajeeb</t>
  </si>
  <si>
    <t>Assessment of Landslide Susceptibility using Geospatial Techniques: A Comparative Evaluation of Machine Learning and Statistical Models</t>
  </si>
  <si>
    <t>GEOLOGICAL JOURNAL</t>
  </si>
  <si>
    <t>evident belief function; frequency ratio; geospatial datasets; Kalimpong; random forest; support vector machine</t>
  </si>
  <si>
    <t>ANALYTICAL HIERARCHY PROCESS; FREQUENCY RATIO MODEL; BELIEF FUNCTION MODEL; LOGISTIC-REGRESSION; PROCESS AHP; DARJEELING HIMALAYA; NEURAL-NETWORKS; HAZARD; ZONATION; PARTS</t>
  </si>
  <si>
    <t>This study delineates landslide susceptibility zones in the Kalimpong district by integrating multi-sensor datasets and assessing the effectiveness of statistical and machine learning models for precision mapping. The analysis utilises a comprehensive geospatial dataset, including remote sensing imagery, topographical, geological, and climatic factors. Four models were employed to generate landslide susceptibility maps (LSMs) using 16 influencing factors: two bivariate statistical models, frequency ratio (FR) and evidence belief function (EBF) and two machine learning models, random forest (RF) and support vector machine (SVM). Out of 1244 recorded landslide events, 871 events (70%) were used for training the models, and 373 events (30%) for validation. The distribution of susceptibility classes predicted by The RF and SVM models produced similar susceptibility distributions, predicting 13.30% and 14.30% of the area as highly susceptible, and 2.42% and 2.82% as very highly susceptible, respectively. In contrast, the FR model estimated 20.98% of the area as highly susceptible and 4.30% as very highly susceptible, whereas the EBF model predicted 17.42% and 5.89% for these categories, respectively. Model validation using receiver operating characteristic (ROC) curves revealed that the machine learning models (RF and SVM) had superior prediction accuracy with AUC values of 95.90% and 86.60%, respectively, compared to the statistical models (FR and EBF), which achieved AUC values of 74.30% and 76.80%. The findings indicate that Kalimpong-I is most vulnerable, with 6.76% of its area categorised as very high susceptibility and 24.80% as high susceptibility. Conversely, the Gorubathan block exhibited the least susceptible, with 0.95% and 6.48% of its area classified as very high and high susceptibility, respectively. This research provides essential insights for decision-makers and policy planners in landslide-prone regions and can be instrumental in developing early warning systems, which are vital for enhancing community safety through timely evacuations and preparedness measures.</t>
  </si>
  <si>
    <t>[Raut, Subrata; Dutta, Dipanwita; Bera, Debarati] Vidyasagar Univ, Dept Remote Sensing &amp; GIS, Midnapore, W Bengal, India; [Samanta, Rajeeb] Prabhat Kumar Coll, Dept Geog, Contai, W Bengal, India</t>
  </si>
  <si>
    <t>Dutta, D (corresponding author), Vidyasagar Univ, Dept Remote Sensing &amp; GIS, Midnapore, W Bengal, India.</t>
  </si>
  <si>
    <t>0072-1050</t>
  </si>
  <si>
    <t>1099-1034</t>
  </si>
  <si>
    <t>10.1002/gj.5080</t>
  </si>
  <si>
    <t>Maity, Sudarshan; Sahu, Tarak Nath</t>
  </si>
  <si>
    <t>Paranoia Among Employees of Private Organizations: An Outcome of COVID-19</t>
  </si>
  <si>
    <t>[Maity, Sudarshan] Inst Cost Accountants India, Kolkata, W Bengal, India; [Sahu, Tarak Nath] Vidyasagar Univ, Dept Commerce, Midnapore, W Bengal, India</t>
  </si>
  <si>
    <t>10.1080/00213624.2023.2238488</t>
  </si>
  <si>
    <t>Layek, Ujjwal; Das, Uday; Karmakar, Prakash</t>
  </si>
  <si>
    <t>The pollination efficiency of a pollinator depends on its foraging strategy, flowering phenology, and the flower characteristics of a plant species</t>
  </si>
  <si>
    <t>JOURNAL OF ASIA-PACIFIC ENTOMOLOGY</t>
  </si>
  <si>
    <t>[Layek, Ujjwal; Das, Uday] Rampurhat Coll, Dept Bot, Birbhum 731224, India; [Karmakar, Prakash] Vidyasagar Univ, Dept Bot &amp; Forestry, Midnapore 721102, India</t>
  </si>
  <si>
    <t>KOREAN SOC APPLIED ENTOMOLOGY</t>
  </si>
  <si>
    <t>SUWON</t>
  </si>
  <si>
    <t>NATL INST AGRICULTURAL SCIENCE &amp; TECHNOLOGY, DIVISION ENTOMOLOGY, RDA, 249 SEODUN-DONG, SUWON, 441-707, SOUTH KOREA</t>
  </si>
  <si>
    <t>1226-8615</t>
  </si>
  <si>
    <t>1876-7990</t>
  </si>
  <si>
    <t>10.1016/j.aspen.2022.101882</t>
  </si>
  <si>
    <t>Kundu, A; Bej, T</t>
  </si>
  <si>
    <t>Kundu, Arnab; Bej, Tripti</t>
  </si>
  <si>
    <t>Relationship between Psychological Distress and Teaching Efficacy of Indian Elementary School Teachers: A Moderated Mediation Model</t>
  </si>
  <si>
    <t>CONTEMPORARY SCHOOL PSYCHOLOGY</t>
  </si>
  <si>
    <t>Psychological distress; Happiness; Teaching efficacy; Teacher autonomy</t>
  </si>
  <si>
    <t>MENTAL-HEALTH; SUBJECTIVE HAPPINESS; SELF-DETERMINATION; JOB DEMANDS; RELIABILITY; PREDICTORS; RESOURCES; AUTONOMY; NEEDS</t>
  </si>
  <si>
    <t>The main goal of this research was to investigate the complex relationships among school teachers' psychological distress, subjective happiness, workplace happiness, autonomy, and teaching efficacy using a moderated mediation analysis. A random cluster sampling procedure was used to select a total of 321 survey participants (187 male and 134 females) teaching in 100 different government-run elementary schools in India. Self-report questionnaires were used to gather data. Moderated mediation analysis was executed using the PROCESS Macro Model 8 so that the mediators and moderator could function together in the same model. It revealed the prevalence of an acute psychological distress issue among 27 percent school teachers. The average state of happiness and autonomy among them had also been poor. Empirical findings further showed that psychological distress had a significantly negative direct impact on teaching efficacy. Teachers' happiness (both subjective and workplace) had a significantly negative partial mediation in the association between their psychological distress and teaching efficacy. Autonomy had a negative yet significant moderation on the above three relationship paths between distress and efficacy. In educational settings, understanding these relationship dynamics can lead to more targeted and effective strategies to improve teaching efficacy and overall teacher well-being. It evidenced that promoting happiness and autonomy among teachers is crucial for maintaining good teaching efficacy even in stressful environments.</t>
  </si>
  <si>
    <t>[Kundu, Arnab] Bankura Univ, Dept Educ, Bankura, India; [Bej, Tripti] Vidyasagar Univ, Dept Appl Math, Midnapore, India</t>
  </si>
  <si>
    <t>Kundu, A (corresponding author), Bankura Univ, Dept Educ, Bankura, India.</t>
  </si>
  <si>
    <t>2159-2020</t>
  </si>
  <si>
    <t>2161-1505</t>
  </si>
  <si>
    <t>10.1007/s40688-024-00526-3</t>
  </si>
  <si>
    <t>Psychology, Educational</t>
  </si>
  <si>
    <t>Psychology</t>
  </si>
  <si>
    <t>Controlled Terms Versus Uncontrolled Terms in Resource Description: A Comparative Study Based on Social Science Books</t>
  </si>
  <si>
    <t>DESIDOC JOURNAL OF LIBRARY &amp; INFORMATION TECHNOLOGY</t>
  </si>
  <si>
    <t>Social tagging; Social tagging in social science; Library of congress subject headings (LCSHs); Controlled and uncontrolled vocabulary</t>
  </si>
  <si>
    <t>SUBJECT-HEADINGS; DISCOVERY; LIBRARY; TAGS; DOMAIN; ACCESS</t>
  </si>
  <si>
    <t>The paper comparatively investigates the relation between controlled vocabularies assigned by the experts in Library of Congress and tags assigned by users in Library Thing database in three subjects, Economics, History and Sociology under Social Science domain. Based on Term matching (S= 14.80 %, E= 12.77 % and H= 8.06 %) and Jaccard similarity coefficient (E= 0.15, S= 0.15 and H= 0.11), we found little matching between both vocabularies. We also found that experts mostly use double -word and multi -word specific topical terms (S= 73.14 %, E= 72.89 % and H= 61.05 %), whereas social taggers mostly use single -word general non -topical terms (E= 54.88 %, H= 54.21 % and S= 48.55%) and little topical and few personal terms. While comparison with LCSH subfield, we found that experts prefer topical terms for all subjects, whereas, taggers only prefer it for Economics and geographic subdivision terms for History and Sociology, but they don't prefer chronological terms for tagging. Even, experts prefer little title -based terms (H= 196 terms, S= 195 terms and E= 175 terms) but taggers mostly prefer title -based terms (H= 673 terms, S= 564 terms and E= 444 terms) in three subjects. However, the study concludes that both vocabularies are different, but libraries can exploit those uncontrolled vocabularies and can introduce 'hybrid metadata ecology' which combines controlled vocabularies, classification and folksonomies for better subject access and retrieval of social science documents.</t>
  </si>
  <si>
    <t>[Samanta, Kalyan Sundar] Prabhu Jagatbandhu Coll, Howrah 711302, India; [Rath, Durga Sankar] Vidyasagar Univ, Dept Lib &amp; Informat Sci, Midnapore 721102, India</t>
  </si>
  <si>
    <t>Samanta, KS (corresponding author), Prabhu Jagatbandhu Coll, Howrah 711302, India.</t>
  </si>
  <si>
    <t>DEFENCE SCIENTIFIC INFORMATION DOCUMENTATION CENTRE</t>
  </si>
  <si>
    <t>METCALFE HOUSE, DELHI 110054, INDIA</t>
  </si>
  <si>
    <t>0974-0643</t>
  </si>
  <si>
    <t>0976-4658</t>
  </si>
  <si>
    <t>10.14429/djlit.44.03.19554</t>
  </si>
  <si>
    <t>Bhattacharyya, M; Hossain, M</t>
  </si>
  <si>
    <t>Bhattacharyya, Manjushree; Hossain, Maidul</t>
  </si>
  <si>
    <t>Label free colorimetric assay for selective and sensitive detection of exceedingly noxious Cd2+ ions based on Heliotropium indicum leaf extract mediated gold nanoparticles and its application in real sample analysis</t>
  </si>
  <si>
    <t>JOURNAL OF ENVIRONMENTAL CHEMICAL ENGINEERING</t>
  </si>
  <si>
    <t>Cd2+ detection; HI-AuNPs; Colorimetric sensor; Aggregation; Toxic ion; Real application</t>
  </si>
  <si>
    <t>SOLID-PHASE EXTRACTION; SILVER NANOPARTICLES; FLUORESCENT-PROBE; QUANTUM DOTS; STRIPPING VOLTAMMETRY; CADMIUM IONS; SENSOR; MERCURY; ACID; ABSORPTION</t>
  </si>
  <si>
    <t>Environmental pollution derivated from organic toxins and toxic metals is becoming a dangerous factor in universal because of their destructive effects on human health and ecological system. Cadmium is one of the most hazardous and toxic heavy metal to human health and environmental safety. Herein we are reporting a new simple, cost-effective, label free and environment friendly colorimetric assay for recognition of Cd2+ ions using Heliotropium indicum leaf extract mediated gold nanoparticles. Formation of HI-AuNPs were well characterized by using various spectroscopic analysis such as UV -Visible, TEM, FTIR, EDX, SAED, XRD, FE -SEM, AFM, DLS, Zeta Potential and XPS. The synthesized AuNPs revealed a SPR peak at 539 nm, having spherical shape with 22.24 nm size. The HI-AuNPs probe exhibited extremely selective, sensitive quick colorimetric response towards Cd2+ ions with a visible colour change from red to bluish black (within 12 sec). It was assured that aggregation induced sensing mechanism was responsible for colorimetric phenomenon. The detection limit was found to be 5.35 pM, which was far less than the WHO and US -EPA recommended level. In addition, any other metal ions even Zn2+ can not interfere in this experiment, though Zn2+ and Cd2+ possess similar chemical properties. Besides, this proposed method was successfully applied for determination of Cd2+ ions in practical purpose such as real sample analysis. The results designated that this simple, cost-effective, label free, environment friendly, selective and sensitive sensing approach has good potential activity in real applications also.</t>
  </si>
  <si>
    <t>[Bhattacharyya, Manjushree; Hossain, Maidul] Vidyasagar Univ, Dept Chem, Midnapore 721102, West Bengal, India</t>
  </si>
  <si>
    <t>Hossain, M (corresponding author), Vidyasagar Univ, Dept Chem, Midnapore 721102, West Bengal, India.</t>
  </si>
  <si>
    <t>2213-2929</t>
  </si>
  <si>
    <t>2213-3437</t>
  </si>
  <si>
    <t>10.1016/j.jece.2024.112295</t>
  </si>
  <si>
    <t>Engineering, Environmental; Engineering, Chemical</t>
  </si>
  <si>
    <t>Women migrant workers from the backward remote districts of West Bengal: life of utter miseries</t>
  </si>
  <si>
    <t>[Sahu, Tarak Nath; Yadav, Manjari] Vidyasagar Univ, Dept Commerce, Midnapore 721102, West Bengal, India; [Maity, Sudarshan] Inst Cost Accountants India, Dept Examinat, Statutory Body Act Parliament, 12 Sudder St, Kolkata 700016, West Bengal, India</t>
  </si>
  <si>
    <t>SUPPL 1</t>
  </si>
  <si>
    <t>10.1007/s10708-023-10991-7</t>
  </si>
  <si>
    <t>Layek, Ujjwal; Baghira, Nitol Krishna; Das, Alokesh; Kundu, Arijit; Karmakar, Prakash</t>
  </si>
  <si>
    <t>Dependency of Crops on Pollinators and Pollination Deficits: An Approach to Measurement Considering the Influence of Various Reproductive Traits</t>
  </si>
  <si>
    <t>AGRICULTURE-BASEL</t>
  </si>
  <si>
    <t>[Layek, Ujjwal; Baghira, Nitol Krishna; Das, Alokesh] Rampurhat Coll, Dept Bot, Birbhum 731224, W Bengal, India; [Kundu, Arijit; Karmakar, Prakash] Vidyasagar Univ, Dept Bot &amp; Forestry, Midnapore 721102, W Bengal, India</t>
  </si>
  <si>
    <t>Karmakar, P (corresponding author), Vidyasagar Univ, Dept Bot &amp; Forestry, Midnapore 721102, W Bengal, India.</t>
  </si>
  <si>
    <t>2077-0472</t>
  </si>
  <si>
    <t>10.3390/agriculture13081563</t>
  </si>
  <si>
    <t>Agronomy</t>
  </si>
  <si>
    <t>Agriculture</t>
  </si>
  <si>
    <t>Sarkar, Aniket; Santra, Dipannita; Panja, Anindya Sundar; Maiti, Smarajit</t>
  </si>
  <si>
    <t>Immunoinformatics and MD-simulation data suggest that Omicron spike epitopes are more interacting to IgG via better MHC recognition than Delta variant</t>
  </si>
  <si>
    <t>INTERNATIONAL IMMUNOPHARMACOLOGY</t>
  </si>
  <si>
    <t>[Sarkar, Aniket; Santra, Dipannita; Maiti, Smarajit] Vidyasagar Univ, Oriental Inst Sci &amp; Technol, Postgrad Dept Biotechnol, Midnapore 721102, W Bengal, India; [Panja, Anindya Sundar] Vidyasagar Univ, Oriental Inst Sci &amp; Technol, Dept Biotechnol, Mol Informat Lab, Midnapore 721102, W Bengal, India; [Maiti, Smarajit] Agricure Biotech Res Soc, Midnapore 721101, India</t>
  </si>
  <si>
    <t>Maiti, S (corresponding author), Vidyasagar Univ, Oriental Inst Sci &amp; Technol, Postgrad Dept Biotechnol, Midnapore 721102, W Bengal, India.;Maiti, S (corresponding author), Agricure Biotech Res Soc, Midnapore 721101, India.</t>
  </si>
  <si>
    <t>1567-5769</t>
  </si>
  <si>
    <t>1878-1705</t>
  </si>
  <si>
    <t>10.1016/j.intimp.2023.110636</t>
  </si>
  <si>
    <t>Immunology; Pharmacology &amp; Pharmacy</t>
  </si>
  <si>
    <t>'Papa, I am gay, please, love me': Politics of censorship and queer representation in Bollywood</t>
  </si>
  <si>
    <t>ASIAN JOURNAL OF COMPARATIVE POLITICS</t>
  </si>
  <si>
    <t>queer Bollywood films; CBFC; homophobia; power relations; homosexuality in India</t>
  </si>
  <si>
    <t>The article explores the problematic issues that arise between Bollywood films projecting homosexual relationships and the Central Board of Film Certification (CBFC) filtering their contents. Queer popular cultural representations in India face challenges to get release certification because of their inherently debatable contents including 'non-normative' sexual relationships which are largely identified as a potential threat to the existing heteronormative, majoritarian culture. By giving reference to two queer films, Unfreedom and Angry Indian Goddesses, this article explores the politics of censorship in the light of Foucauldian power relations and the discourse of knowledge production. I argue that by proscribing representations of queer sexualities in films, the CBFC has acted on behalf of the state in decelerating the formation and proliferation of a counter cultural movement to balance homophobia discursively and to peddle majoritarian power politics, and thus the notion of heterosexuality as compulsory form of sexual behaviour is popularized and consolidated in Indian society.</t>
  </si>
  <si>
    <t>[Maity, Abhijit] Vidyasagar Univ, Mahishadal Girls Coll, Purba Medinipur, India; [Maity, Abhijit] Vidyasagar Univ, Mahishadal Girls Coll, Dept English, Purba Medinipur 721632, West Bengal, India</t>
  </si>
  <si>
    <t>Vidyasagar University; Mahishadal Girls College; Vidyasagar University; Mahishadal Girls College</t>
  </si>
  <si>
    <t>Maity, A (corresponding author), Vidyasagar Univ, Mahishadal Girls Coll, Dept English, Purba Medinipur 721632, West Bengal, India.</t>
  </si>
  <si>
    <t>2057-8911</t>
  </si>
  <si>
    <t>2057-892X</t>
  </si>
  <si>
    <t>ASIAN J COMP POLITIC</t>
  </si>
  <si>
    <t>Asian J. Comp. Politics</t>
  </si>
  <si>
    <t>10.1177/20578911231186858</t>
  </si>
  <si>
    <t>Jana, S; Sahu, TN; Pandey, KD</t>
  </si>
  <si>
    <t>Jana, Susovon; Sahu, Tarak Nath; Pandey, Krishna Dayal</t>
  </si>
  <si>
    <t>Revisiting the cryptocurrencies role in stock markets: ADCC-GARCH and Wavelet Coherence</t>
  </si>
  <si>
    <t>MACROECONOMICS AND FINANCE IN EMERGING MARKET ECONOMIES</t>
  </si>
  <si>
    <t>Cryptocurrency; diversification; wavelet coherence analysis; safe haven; hedge</t>
  </si>
  <si>
    <t>SAFE-HAVEN; GOLD; VOLATILITY; BONDS; OIL; BITCOIN; ASSETS; HEDGE; PRICE; DCC</t>
  </si>
  <si>
    <t>The current study analyses five major cryptocurrencies and four global stock markets to explore the hedging, safe haven and diversification roles of cryptocurrencies by employing ADCC-GARCH and Wavelet Coherence Technique. The study has found that stock and cryptocurrency markets return have high volatility persistence in the long run and confirms the bi-directional volatility transmission. Also, the hedging capacity of digital currencies varies depending on market choice. Tether operates as the most effective diversifier for all studied stock indices and is a strong safe haven asset during market turmoil. It is also documented that majority of cryptocurrencies cannot offer diversification advantages.</t>
  </si>
  <si>
    <t>[Jana, Susovon; Sahu, Tarak Nath] Vidyasagar Univ, Dept Business Adm, Midnapore, India; [Pandey, Krishna Dayal] Sidho Kanho Birsha Univ, Dept Business Adm, Purulia, India</t>
  </si>
  <si>
    <t>1752-0843</t>
  </si>
  <si>
    <t>1752-0851</t>
  </si>
  <si>
    <t>10.1080/17520843.2023.2211380</t>
  </si>
  <si>
    <t>Bhunia, Anup Kumar; Mondal, Dheeman; Sahu, Kriti Ranjan; Mondal, Amal Kumar</t>
  </si>
  <si>
    <t>Characterization of new natural cellulosic fibers from Cyperus compactus Retz. (Cyperaceae) Plant</t>
  </si>
  <si>
    <t>CARBOHYDRATE POLYMER TECHNOLOGIES AND APPLICATIONS</t>
  </si>
  <si>
    <t>[Bhunia, Anup Kumar; Mondal, Dheeman; Mondal, Amal Kumar] Vidyasagar Univ, Plant Taxon Biosystemat &amp; Mol Taxon Lab, UGC DRS SAP II, Midnapore 721102, West Bengal, India; [Bhunia, Anup Kumar; Mondal, Dheeman; Mondal, Amal Kumar] Vidyasagar Univ, WB supported Dept, Dept Bot &amp; Forestry, DBT BOOST, Midnapore 721102, West Bengal, India; [Sahu, Kriti Ranjan] Bhatter Coll, Dept Phys, Dantan 721426, West Bengal, India</t>
  </si>
  <si>
    <t>Mondal, AK (corresponding author), Vidyasagar Univ, Plant Taxon Biosystemat &amp; Mol Taxon Lab, UGC DRS SAP II, Midnapore 721102, West Bengal, India.;Mondal, AK (corresponding author), Vidyasagar Univ, WB supported Dept, Dept Bot &amp; Forestry, DBT BOOST, Midnapore 721102, West Bengal, India.</t>
  </si>
  <si>
    <t>2666-8939</t>
  </si>
  <si>
    <t>10.1016/j.carpta.2023.100286</t>
  </si>
  <si>
    <t>Chemistry, Applied; Polymer Science</t>
  </si>
  <si>
    <t>Chemistry; Polymer Science</t>
  </si>
  <si>
    <t>Goswami, D; Halder, SK; Mondal, KC</t>
  </si>
  <si>
    <t>Goswami, Debabrata; Halder, Suman Kumar; Mondal, Keshab Chandra</t>
  </si>
  <si>
    <t>Characterization of siderophore from probiotic Bacillus spp. strain isolated from traditional fermented food of the Himalaya</t>
  </si>
  <si>
    <t>Probiotic; Siderophore; Hydroxymate; Catecholate; 2,3-dihydroxybenzoyl glycine</t>
  </si>
  <si>
    <t>IRON-METABOLISM; BACTERIA</t>
  </si>
  <si>
    <t>This study highlights the production and characterization of siderophore from probiotic bacteria, aiming to evaluate its suitability as a carrier to treat iron deficiency anemia. Organisms were previously isolated from Chhurpi (Himalayan traditional fermented food) and their probiotic characteristics were reported. Among the, Bacillus subtilis L9 that produced catecholate and Pediococcus pentosaceus BAC L7 synthesized hydroxymate and catecholate type of siderophore. After optimization (pH 6.0, 100 rpm agitation speed and 15% inoculums volume) B. subtilis L9 and P. pentosaceus BAC L7 produced 89 and 73% siderophore unit respectively, after 72 h of incubation at simulated gastro-intestinal condition. Owing to better siderophore production and spore forming capability B. subtilis L9 was selected and physico-chemical characteristics of its siderophore were studied by FTIR, NMR and mass spectrometric analysis. The purified siderophore (2,3-dihydroxybenzoyl glycine) from B. subtilis L9 exhibited a high iron scavenging activity (89.76%). The study was penlights the exploration of probiotic microorganism present in the indigenous fermented food and their capability to biosynthesize siderophore that could be an effective therapeutic aid for maximum absorption of dietary iron and alleviation anemia like micronutrient deficiency diseases as well as to combat hypoxia among the high altitude residents. [GRAPHICS]</t>
  </si>
  <si>
    <t>[Goswami, Debabrata; Halder, Suman Kumar; Mondal, Keshab Chandra] Vidyasagar Univ, Dept Microbiol, Midnapore 721102, West Bengal, India; [Halder, Suman Kumar] Vivekananda Mahavidyalaya, Dept Microbiol, Burdwan 713103, West Bengal, India</t>
  </si>
  <si>
    <t>10.1007/s43393-024-00257-9</t>
  </si>
  <si>
    <t>Mondal, Palash; Maiti, Dilip K.</t>
  </si>
  <si>
    <t>Variable injection-suction and temperature on Couette-Poiseuille non-Newtonian flow through slippy microchannel: heat transfer and entropy generation</t>
  </si>
  <si>
    <t>JOURNAL OF THERMAL ANALYSIS AND CALORIMETRY</t>
  </si>
  <si>
    <t>[Mondal, Palash] Subarnarekha Mahavidyalaya, Dept Math, Gopiballavpur 721506, Jhargram, India; [Maiti, Dilip K.] Vidyasagar Univ, Dept Appl Math Oceanol &amp; Comp Programming, Midnapore 721102, West Bengal, India</t>
  </si>
  <si>
    <t>1388-6150</t>
  </si>
  <si>
    <t>1588-2926</t>
  </si>
  <si>
    <t>J THERM ANAL CALORIM</t>
  </si>
  <si>
    <t>J. Therm. Anal. Calorim.</t>
  </si>
  <si>
    <t>10.1007/s10973-023-12539-w</t>
  </si>
  <si>
    <t>Thermodynamics; Chemistry, Analytical; Chemistry, Physical</t>
  </si>
  <si>
    <t>Thermodynamics; Chemistry</t>
  </si>
  <si>
    <t>Amanathulla, Sk; Khatun, Jasminara; Pal, Madhumangal</t>
  </si>
  <si>
    <t>L(3,2,1)-labeling problem of square of path</t>
  </si>
  <si>
    <t>[Amanathulla, Sk] Raghunathpur Coll, Dept Math, Raghunathpur 723133, India; [Khatun, Jasminara; Pal, Madhumangal] Vidyasagar Univ, Dept Appl Math Oceanol Comp Programming, Midnapore 721102, India</t>
  </si>
  <si>
    <t>Amanathulla, S (corresponding author), Raghunathpur Coll, Dept Math, Raghunathpur 723133, India.</t>
  </si>
  <si>
    <t>10.1142/S2661335223500077</t>
  </si>
  <si>
    <t>Mondal, Rajib; Das, Nandita; Layek, Ujjwal; De, Subrata Kumar; Karmakar, Prakash</t>
  </si>
  <si>
    <t>Pollen sources of Asian honeybee (Apis cerana Fabricius) in Paschim Medinipur district of West Bengal, India</t>
  </si>
  <si>
    <t>GRANA</t>
  </si>
  <si>
    <t>[Mondal, Rajib; Karmakar, Prakash] Vidyasagar Univ, Dept Bot &amp; Forestry, Midnapore, India; [Das, Nandita] Vidyasagar Univ, Ctr Life Sci, Midnapore, India; [Layek, Ujjwal] Rampurhat Coll, Dept Bot, Birbhum, India; [De, Subrata Kumar] Vidyasagar Univ, Dept Zool, Midnapore, India; [Karmakar, Prakash] Vidyasagar Univ, Dept Bot &amp; Forestry, Midnapore 721102, India</t>
  </si>
  <si>
    <t>0017-3134</t>
  </si>
  <si>
    <t>1651-2049</t>
  </si>
  <si>
    <t>10.1080/00173134.2023.2263452</t>
  </si>
  <si>
    <t>Abul Basar, Sk Md; Das, Pinaki</t>
  </si>
  <si>
    <t>State level hunger index in India: assessing the progress of regional outcomes</t>
  </si>
  <si>
    <t>[Abul Basar, Sk Md] Sidho Kanho Birsha Univ, Dept Econ, Purulia 723104, West Bengal, India; [Das, Pinaki] Vidyasagar Univ, Dept Econ, Midnapore 721102, West Bengal, India</t>
  </si>
  <si>
    <t>Das, P (corresponding author), Vidyasagar Univ, Dept Econ, Midnapore 721102, West Bengal, India.</t>
  </si>
  <si>
    <t>10.1007/s10708-023-10893-8</t>
  </si>
  <si>
    <t>Sivasankar, S.; Bera, Sanchari; Maaz, Syed Ibrahim; Pal, Madhumangal</t>
  </si>
  <si>
    <t>Defective vertex and stable connectivity of a fuzzy graph and their application to identify the chickenpox</t>
  </si>
  <si>
    <t>[Sivasankar, S.; Maaz, Syed Ibrahim] RV Inst Technol &amp; Management, Dept Math, Bangalore, Karnataka, India; [Bera, Sanchari; Pal, Madhumangal] Vidyasagar Univ, Dept Appl Math Oceanol &amp; Comp Programming, Midnapore, W Bengal, India</t>
  </si>
  <si>
    <t>Sivasankar, S (corresponding author), RV Inst Technol &amp; Management, Dept Math, Bangalore 560076, Karnataka, India.</t>
  </si>
  <si>
    <t>10.3233/JIFS-223545</t>
  </si>
  <si>
    <t>Maity, Rakesh; Mandal, Debkumar; Mandal, Usha; Misra, Ajay</t>
  </si>
  <si>
    <t>Computation of global reactivity descriptors along the proton transfer co-ordinate of 9-Hydroxy-phenalen-1-one and 6-Hydroxy-benzo[de]anthracen-7-one: a DFT-based comparative study</t>
  </si>
  <si>
    <t>[Maity, Rakesh; Mandal, Debkumar; Mandal, Usha; Misra, Ajay] Vidyasagar Univ, Dept Chem &amp; Chem Technol, Midnapore 721102, W Bengal, India</t>
  </si>
  <si>
    <t>Misra, A (corresponding author), Vidyasagar Univ, Dept Chem &amp; Chem Technol, Midnapore 721102, W Bengal, India.</t>
  </si>
  <si>
    <t>10.1080/00268976.2022.2047236</t>
  </si>
  <si>
    <t>Sarkar, A; Nandi, U; Changdar, C; Paul, B; Si, TP</t>
  </si>
  <si>
    <t>Sarkar, Anish; Nandi, Utpal; Changdar, Chiranjit; Paul, Bachchu; Si, Tapas</t>
  </si>
  <si>
    <t>ParHybNet: Parallel Hybrid Network for Hyperspectral Image Classification</t>
  </si>
  <si>
    <t>HSI classification; Hybrid convolution network; Parallel feature extractor; Parallel network; Triplet-attention</t>
  </si>
  <si>
    <t>GRAPH</t>
  </si>
  <si>
    <t>Deep Learning approaches, particularly Convolutional Neural Networks, have recently proven to be adequate for the Hyperspectral Image Classification (HSIC). These CNN-based techniques have performed admirably in a variety of applications. It is known to all that the dimension of the input image is lowered after each convolution process, which may result in feature loss. However, the scarcity of training samples remains a key barrier in HSI classification, significantly affecting classification performance. In order to address this issue, Parallel Hybrid Network (ParHybNet) has been proposed, an HSI classification (HSIC) approach, which employs two identical hybrid spectral-spatial feature extractors in parallel. The HSI cube is sent via a Triplet-Attention module in the proposed model before being subjected to feature extraction by two parallel feature extractors, and the resultant feature maps from these parallel extractors are then concatenated. For classification, the combined feature maps are passed through a sequence of fully connected layers before being sent to a softmax activation layer. The method proposed has been compared with other well-established methods for performance analysis using three well-known and publicly available datasets of hyperspectral images: Salinas Scene, University of Pavia, and Indian Pines. The proposed approach outperforms existing approaches in terms of Overall Accuracy, Actual Accuracy (AA) and Kappa metrics most of the time.</t>
  </si>
  <si>
    <t>[Sarkar, Anish; Nandi, Utpal; Paul, Bachchu] Vidyasagar Univ, Dept Comp Sci, Midnapore 721102, West Bengal, India; [Changdar, Chiranjit] Belda Coll, Dept Comp Sci, Belda 721424, West Bengal, India; [Si, Tapas] Univ Engn &amp; Management, Dept Comp Sci &amp; Engn, Jaipur 303804, Rajasthan, India</t>
  </si>
  <si>
    <t>Nandi, U (corresponding author), Vidyasagar Univ, Dept Comp Sci, Midnapore 721102, West Bengal, India.</t>
  </si>
  <si>
    <t>10.1007/s12524-024-02072-0</t>
  </si>
  <si>
    <t>Ghosh, S; Pal, T; Ghosh, S</t>
  </si>
  <si>
    <t>Ghosh, Susanta; Pal, Tanusri; Ghosh, Surajit</t>
  </si>
  <si>
    <t>MoS2-CdS Composite Photocatalyst for Dye Degradation: Enhanced Apparent Quantum Yield and Reduced Energy Consumption</t>
  </si>
  <si>
    <t>CHEMISTRYSELECT</t>
  </si>
  <si>
    <t>Apparent quantum yield; Dye degradation; Electrical energy; MoS2-CdS composite; Synergistic effect</t>
  </si>
  <si>
    <t>STEP HYDROTHERMAL SYNTHESIS; RHODAMINE-B; EFFICIENT; ADSORPTION; NANORODS; HETEROSTRUCTURES; NANOCOMPOSITES; RGO</t>
  </si>
  <si>
    <t>This study investigates the visible light-assisted photocatalytic degradation of rhodamine B (Rh B) dye using MoS2-CdS nanocomposite. Two crucial operational parameters, illumination time and the weight ratio of MoS2 to CdS, are systematically examined. Approximately, 91.9% of Rh B solution with a concentration of 10 mg/L is degraded by the MoS2-CdS photocatalyst under 60 min of illumination, with a photocatalyst dosage of 0.5 g/L. The results are consistent with a pseudo-first-order kinetic model, wherein the degradation rate constant of CdS increases fourfold after amalgamation with MoS2. The formation of the composite with MoS2 results in 1.72 times increase in the apparent quantum yield and 3.15 times decrease in the electrical energy consumption per order of CdS nanorods under similar experimental conditions. The investigation also comprehensively explores the reactive species responsible for Rh B degradation under visible light in the presence of MoS2-CdS photocatalyst. This analysis confirms that both hydroxyl and superoxide anion radicals play a dominant role in Rh B degradation. These findings underscore the potential practical applications of MoS2-CdS nanorods in eco-friendly water treatment technologies, offering efficient and sustainable solutions to contemporary environmental challenges.</t>
  </si>
  <si>
    <t>[Ghosh, Susanta; Ghosh, Surajit] Vidyasagar Univ, Dept Phys, Optoelect Mat Lab, Midnapore 721102, West Bengal, India; [Pal, Tanusri] Midnapore Coll, Dept Phys, Midnapore 721101, West Bengal, India</t>
  </si>
  <si>
    <t>Vidyasagar University; Midnapore College</t>
  </si>
  <si>
    <t>Ghosh, S (corresponding author), Vidyasagar Univ, Dept Phys, Optoelect Mat Lab, Midnapore 721102, West Bengal, India.</t>
  </si>
  <si>
    <t>2365-6549</t>
  </si>
  <si>
    <t>ChemistrySelect</t>
  </si>
  <si>
    <t>10.1002/slct.202403559</t>
  </si>
  <si>
    <t>Das, U; Chaudhuri, S; Halder, B; Dutta, P</t>
  </si>
  <si>
    <t>Das, Uddipan; Chaudhuri, Susanta; Halder, Bijay; Dutta, Poulomi</t>
  </si>
  <si>
    <t>An Overview of the Groundwater Situation in Namkhana Block, Sundarban Biosphere Reserve, India, from the Pinnacle of a Propagating Delta Front: A Post-Monsoonal Survey</t>
  </si>
  <si>
    <t>JOURNAL OF WATER MANAGEMENT MODELING</t>
  </si>
  <si>
    <t>WATER-QUALITY INDEX; COASTAL AQUIFERS; SURFACE-WATER; TAMIL-NADU; BASIN; SOUTH; HYDROGEOCHEMISTRY; CONTAMINATION; CHEMISTRY; EVOLUTION</t>
  </si>
  <si>
    <t>This study is a real-time hydrogeological investigation to appraise the groundwater scenario and spatial variations of its major physicochemical parameters at the southernmost apical fringe of the Indian Sundarban Biosphere Reserve area in mesoscale during the recent post-monsoon season (PoM). The study was based on the acquisition and analysis of primary field data collected from the southernmost apex of the river Ganga-Brahmaputra-Meghna delta and restricted to the Namkhana Development Block of South 24 Parganas district, West Bengal, India. Twenty-two groundwater samples were collected from bore wells post-monsoon (October 2022). Measurements of major physical parameters were done in situ. Geospatial contour maps representing variations of influencing parameters were prepared. The drinking and irrigation suitability of the water was validated by existing standard equations and plots. Chemical analyses were done to evaluate its hydrochemistry and suitability for drinking and agriculture. Obtained results primarily revealed that TDS and pH are at marginal ranges with significantly alarming concentrations for some major contributing ions, chiefly bicarbonates, and sodium. The overall suitability of groundwater for agriculture, drinking, and domestic purposes differs from acceptable limits. Indiscriminate groundwater exploitation from deeper aquifers for agriculture seemed to be the prime factor responsible for this situation.</t>
  </si>
  <si>
    <t>[Das, Uddipan; Chaudhuri, Susanta; Halder, Bijay; Dutta, Poulomi] Jadavpur Univ, Kolkata, India; [Das, Uddipan; Chaudhuri, Susanta; Halder, Bijay; Dutta, Poulomi] Vidyasagar Univ, Midnapore, India</t>
  </si>
  <si>
    <t>Jadavpur University; Vidyasagar University</t>
  </si>
  <si>
    <t>Das, U (corresponding author), Jadavpur Univ, Kolkata, India.;Das, U (corresponding author), Vidyasagar Univ, Midnapore, India.</t>
  </si>
  <si>
    <t>COMPUTATIONAL HYDRAULICS INT</t>
  </si>
  <si>
    <t>GUELPH</t>
  </si>
  <si>
    <t>147 WYNDHAM ST N, STE 202, GUELPH, ONTARIO N1H 4E9, CANADA</t>
  </si>
  <si>
    <t>2292-6062</t>
  </si>
  <si>
    <t>10.14796/JWMM.H520</t>
  </si>
  <si>
    <t>Shounda, J; Barman, K; Debnath, K</t>
  </si>
  <si>
    <t>Shounda, Jayanta; Barman, Krishnendu; Debnath, Koustuv</t>
  </si>
  <si>
    <t>Effect of wave-current flow on double-averaged turbulence properties over rough bed of hemispherical obstacles</t>
  </si>
  <si>
    <t>COASTAL ENGINEERING JOURNAL</t>
  </si>
  <si>
    <t>[Shounda, Jayanta; Barman, Krishnendu] Vidyasagar Univ, Dept Appl Math Oceanol &amp; Comp Programming, Midnapore, India; [Debnath, Koustuv] Indian Inst Engn Sci &amp; Technol IIEST, Dept Aerosp Engn &amp; Appl Mech, Sibpur, India</t>
  </si>
  <si>
    <t>Vidyasagar University; Indian Institute of Engineering Science Technology Shibpur (IIEST)</t>
  </si>
  <si>
    <t>Barman, K (corresponding author), Vidyasagar Univ, Dept Appl Math Oceanol &amp; Comp Programming, Midnapore, India.</t>
  </si>
  <si>
    <t>2166-4250</t>
  </si>
  <si>
    <t>1793-6292</t>
  </si>
  <si>
    <t>OCT 2</t>
  </si>
  <si>
    <t>10.1080/21664250.2023.2288427</t>
  </si>
  <si>
    <t>Engineering, Civil; Engineering, Ocean</t>
  </si>
  <si>
    <t>Mudi, Naren; Shyamal, Milan; Giri, Prabhat Kumar; Samanta, Shashanka Shekhar; Ramirtz-Tagle, Rodrigo; Misra, Ajay</t>
  </si>
  <si>
    <t>Anthracene scaffold as highly selective chemosensor for Al3+ and its AIEE activity</t>
  </si>
  <si>
    <t>PHOTOCHEMICAL &amp; PHOTOBIOLOGICAL SCIENCES</t>
  </si>
  <si>
    <t>[Mudi, Naren; Shyamal, Milan; Giri, Prabhat Kumar; Samanta, Shashanka Shekhar; Misra, Ajay] Vidyasagar Univ, Dept Chem, Midnapore 721102, West Bengal, India; [Ramirtz-Tagle, Rodrigo] Univ Aconcagua, Post Grad Res, Conchali, Chile</t>
  </si>
  <si>
    <t>1474-905X</t>
  </si>
  <si>
    <t>1474-9092</t>
  </si>
  <si>
    <t>10.1007/s43630-023-00392-7</t>
  </si>
  <si>
    <t>Biochemistry &amp; Molecular Biology; Biophysics; Chemistry, Physical</t>
  </si>
  <si>
    <t>Science Citation Index Expanded (SCI-EXPANDED); Index Chemicus (IC)</t>
  </si>
  <si>
    <t>Biochemistry &amp; Molecular Biology; Biophysics; Chemistry</t>
  </si>
  <si>
    <t>Paul, B; Phadikar, S</t>
  </si>
  <si>
    <t>Paul, Bachchu; Phadikar, Santanu</t>
  </si>
  <si>
    <t>A novel pre-processing technique of amplitude interpolation for enhancing the classification accuracy of Bengali phonemes</t>
  </si>
  <si>
    <t>[Paul, Bachchu] Vidyasagar Univ, Dept Comp Sci, Midnapore 721102, W Bengal, India; [Phadikar, Santanu] Maulana Abul Kalam Azad Univ Technol, Dept Comp Sci &amp; Engn, BF-142,Sect 1, Kolkata 700064, W Bengal, India</t>
  </si>
  <si>
    <t>Vidyasagar University; Maulana Abul Kalam Azad University of Technology</t>
  </si>
  <si>
    <t>Paul, B (corresponding author), Vidyasagar Univ, Dept Comp Sci, Midnapore 721102, W Bengal, India.</t>
  </si>
  <si>
    <t>10.1007/s11042-022-13594-5</t>
  </si>
  <si>
    <t>Jana, Sebak Kumar; Tamang, Pravesh</t>
  </si>
  <si>
    <t>Prospects of rehabilitation of ancient irrigation systems in India-A case study from coastal saline zone of West Bengal</t>
  </si>
  <si>
    <t>AGRICULTURAL SYSTEMS</t>
  </si>
  <si>
    <t>[Jana, Sebak Kumar] Vidyasagar Univ, Dept Econ, Midnapore 721102, W Bengal, India; [Tamang, Pravesh] Presidency Univ, Dept Econ, 86-1 Coll St, Kolkata 700073, W Bengal, India</t>
  </si>
  <si>
    <t>Vidyasagar University; Presidency University, Kolkata</t>
  </si>
  <si>
    <t>Jana, SK (corresponding author), Vidyasagar Univ, Dept Econ, Midnapore 721102, W Bengal, India.</t>
  </si>
  <si>
    <t>0308-521X</t>
  </si>
  <si>
    <t>1873-2267</t>
  </si>
  <si>
    <t>10.1016/j.agsy.2023.103638</t>
  </si>
  <si>
    <t>Agriculture, Multidisciplinary</t>
  </si>
  <si>
    <t>Ghosh, S; Kumar, Y</t>
  </si>
  <si>
    <t>Ghosh, Sujay; Kumar, Yukteshwar</t>
  </si>
  <si>
    <t>Transparency laws, corruption and the quality of government: comparing India and China</t>
  </si>
  <si>
    <t>ASIAN JOURNAL OF POLITICAL SCIENCE</t>
  </si>
  <si>
    <t>Transparency laws; Corruption; Information; Accountability; Quality of Government; Democracy</t>
  </si>
  <si>
    <t>ANTI-CORRUPTION; ACCOUNTABILITY; INFORMATION; ANTICORRUPTION; DEMOCRACY; IMPACT; NETWORKS; FREEDOM; STATE; POWER</t>
  </si>
  <si>
    <t>Transparency laws, such as the Right to Information (RTI) in India and Open Government Information (OGI) in China, seek to confront corruption. They have been able to expand people's space against corruption and other abuses of power, thus demanding accountability from the powerholders. Instead of particular regimes like democratic or authoritarian, we employ the Quality of Government (QoG) as a context to understand corruption control in India and China. Yet, due to various socio-political limitations, QoG remains inadequate in India; and uneven in China these cripple the promises of transparency laws. Hence, it is necessary that India prioritizes human development, which shall require better QoG and China addresses its weaker areas in QoG.</t>
  </si>
  <si>
    <t>[Ghosh, Sujay] Vidyasagar Univ, Dept Polit Sci, Midnapore, India; [Kumar, Yukteshwar] Univ Bath, Chinese Stream, POLIS, Bath, England</t>
  </si>
  <si>
    <t>Vidyasagar University; University of Bath</t>
  </si>
  <si>
    <t>0218-5377</t>
  </si>
  <si>
    <t>1750-7812</t>
  </si>
  <si>
    <t>10.1080/02185377.2024.2351384</t>
  </si>
  <si>
    <t>Dey, Moumita; Ghosh, Somdatta</t>
  </si>
  <si>
    <t>Arbuscular mycorrhizae in plant immunity and crop pathogen control</t>
  </si>
  <si>
    <t>RHIZOSPHERE</t>
  </si>
  <si>
    <t>[Dey, Moumita] Vidyasagar Univ, Dept Microbiol, Midnapore 721102, WB, India; [Ghosh, Somdatta] Midnapore Coll Autonomous, Dept Bot UG &amp; PG, Midnapore 721101, WB, India</t>
  </si>
  <si>
    <t>Ghosh, S (corresponding author), Midnapore Coll Autonomous, Dept Bot UG &amp; PG, Midnapore 721101, WB, India.</t>
  </si>
  <si>
    <t>2452-2198</t>
  </si>
  <si>
    <t>10.1016/j.rhisph.2022.100524</t>
  </si>
  <si>
    <t>Agronomy; Plant Sciences; Microbiology; Soil Science</t>
  </si>
  <si>
    <t>Agriculture; Plant Sciences; Microbiology</t>
  </si>
  <si>
    <t>Mahammad, Sadik; Islam, Aznarul; Shit, Pravat Kumar</t>
  </si>
  <si>
    <t>Geospatial assessment of groundwater quality using entropy-based irrigation water quality index and heavy metal pollution indices</t>
  </si>
  <si>
    <t>[Mahammad, Sadik; Islam, Aznarul] Aliah Univ, Dept Geog, 17 Gora Chand Rd, Kolkata 700014, India; [Shit, Pravat Kumar] Vidyasagar Univ, Raja NL Khan Womens Coll, PG Dept Geog, Midnapore, W Bengal, India</t>
  </si>
  <si>
    <t>Aliah University; Vidyasagar University</t>
  </si>
  <si>
    <t>Islam, A (corresponding author), Aliah Univ, Dept Geog, 17 Gora Chand Rd, Kolkata 700014, India.</t>
  </si>
  <si>
    <t>10.1007/s11356-022-20665-5</t>
  </si>
  <si>
    <t>Jana, Chiranjibe; Pal, Madhumangal; Liu, Peide</t>
  </si>
  <si>
    <t>Multiple attribute dynamic decision making method based on some complex aggregation functions in CQROF setting</t>
  </si>
  <si>
    <t>[Jana, Chiranjibe; Pal, Madhumangal] Vidyasagar Univ, Dept Appl Math Oceanol &amp; Comp Programming, Midnapore 721102, India; [Liu, Peide] Shandong Univ Finance &amp; Econ, Sch Management Sci &amp; Engn, Jinan 250014, Shandong, Peoples R China</t>
  </si>
  <si>
    <t>Vidyasagar University; Shandong University of Finance &amp; Economics</t>
  </si>
  <si>
    <t>Jana, C (corresponding author), Vidyasagar Univ, Dept Appl Math Oceanol &amp; Comp Programming, Midnapore 721102, India.</t>
  </si>
  <si>
    <t>10.1007/s40314-022-01806-5</t>
  </si>
  <si>
    <t>Dey, A; Chowdhuri, P; Pal, P; Nandi, U</t>
  </si>
  <si>
    <t>Dey, Ashis; Chowdhuri, Partha; Pal, Pabitra; Nandi, Utpal</t>
  </si>
  <si>
    <t>A robust watermarking approach for medical image authentication using dual image and quorum function</t>
  </si>
  <si>
    <t>JOURNAL OF VISUAL COMMUNICATION AND IMAGE REPRESENTATION</t>
  </si>
  <si>
    <t>Watermarking; Dual image; AD interpolation; Imperceptibility; Quorum function</t>
  </si>
  <si>
    <t>To safeguard the identity and copyright of a patient's medical documents, watermarking strategies are widely used. This work provides a new dual image-based watermarking approach using the quorum function (QF) and AD interpolation technique. AD interpolation is used to create the dual images which helps to increase the embedding capacity. Moreover, the rules for using the QF are designed in such a way, that the original bits are least affected after embedding. As a result, it increases the visual quality of the stego images. A shared secret key has been employed to protect the information hidden in the medical image and to maintain privacy and confidentiality. The experimental result using PSNR, SSIM, NCC, and EC shows that the suggested technique gives an average PSNR of 68.44 dB and SSIM is close to 0.99 after inserting 786432 watermark bits, which demonstrates the superiority of the scheme over other state-of-the-art schemes.</t>
  </si>
  <si>
    <t>[Dey, Ashis; Chowdhuri, Partha; Nandi, Utpal] Vidyasagar Univ, Dept Comp Sci, Paschim Medinipur 721102, WB, India; [Pal, Pabitra] Maulana Abul Kalam Azad Univ Technol, Dept Comp Applicat, Nadia 741249, WB, India</t>
  </si>
  <si>
    <t>Chowdhuri, P (corresponding author), Vidyasagar Univ, Dept Comp Sci, Paschim Medinipur 721102, WB, India.</t>
  </si>
  <si>
    <t>1047-3203</t>
  </si>
  <si>
    <t>1095-9076</t>
  </si>
  <si>
    <t>10.1016/j.jvcir.2024.104299</t>
  </si>
  <si>
    <t>Computer Science, Information Systems; Computer Science, Software Engineering</t>
  </si>
  <si>
    <t>Maity, Shrabanti; Sinha, Anup; Rath, Mithun Kumar; Barlaskar, Ummey Rummana</t>
  </si>
  <si>
    <t>Resource Use Efficiency and Cleaner Agricultural Production: An Application of Technical Inefficiency Effects Model for Paddy Producing Zones of West Bengal</t>
  </si>
  <si>
    <t>AGRIS ON-LINE PAPERS IN ECONOMICS AND INFORMATICS</t>
  </si>
  <si>
    <t>[Maity, Shrabanti; Rath, Mithun Kumar] Vidyasagar Univ, Dept Econ, Vidyasagar Univ Rd, Midnapore 721102, West Bengal, India; [Sinha, Anup; Barlaskar, Ummey Rummana] Assam Univ, Dept Econ, Silchar, Assam, India</t>
  </si>
  <si>
    <t>Vidyasagar University; Assam University</t>
  </si>
  <si>
    <t>Maity, S (corresponding author), Vidyasagar Univ, Dept Econ, Vidyasagar Univ Rd, Midnapore 721102, West Bengal, India.</t>
  </si>
  <si>
    <t>Czech Univ Life Sciences Prague, Fac Economics and Management</t>
  </si>
  <si>
    <t>Praha</t>
  </si>
  <si>
    <t>Kamycka 129, Praha, Suchdol, CZECH REPUBLIC</t>
  </si>
  <si>
    <t>1804-1930</t>
  </si>
  <si>
    <t>10.7160/aol.2023.150205</t>
  </si>
  <si>
    <t>Agricultural Economics &amp; Policy</t>
  </si>
  <si>
    <t>Green Submitted, gold</t>
  </si>
  <si>
    <t>Dutta, Bibhas Kumar; Panchadhyayee, Pradipta</t>
  </si>
  <si>
    <t>Generation of optical PT-antisymmetry in a coherent N-type atomic medium</t>
  </si>
  <si>
    <t>PHYSICA SCRIPTA</t>
  </si>
  <si>
    <t>[Dutta, Bibhas Kumar] WB State Univ, Sree Chaitanya Coll, Dept Phys, North 24, Parganas 743268, WB, India; [Panchadhyayee, Pradipta] Vidyasagar Univ, Prabhat Kumar Coll, Dept Phys UG &amp; PG, Purba Medinipur 721401, WB, India</t>
  </si>
  <si>
    <t>West Bengal State University; Vidyasagar University</t>
  </si>
  <si>
    <t>Panchadhyayee, P (corresponding author), Vidyasagar Univ, Prabhat Kumar Coll, Dept Phys UG &amp; PG, Purba Medinipur 721401, WB, India.</t>
  </si>
  <si>
    <t>IOP Publishing Ltd</t>
  </si>
  <si>
    <t>BRISTOL</t>
  </si>
  <si>
    <t>TEMPLE CIRCUS, TEMPLE WAY, BRISTOL BS1 6BE, ENGLAND</t>
  </si>
  <si>
    <t>0031-8949</t>
  </si>
  <si>
    <t>1402-4896</t>
  </si>
  <si>
    <t>10.1088/1402-4896/accb18</t>
  </si>
  <si>
    <t>Jana, Manasi; Jana, Biswapati; Joardar, Subhankar</t>
  </si>
  <si>
    <t>Local feature based self-embedding fragile watermarking scheme for tampered detection and recovery utilizing AMBTC with fuzzy logic</t>
  </si>
  <si>
    <t>JOURNAL OF KING SAUD UNIVERSITY-COMPUTER AND INFORMATION SCIENCES</t>
  </si>
  <si>
    <t>[Jana, Manasi] Haldia Inst Technol, Dept Comp Applicat, Haldia, West Bengal, India; [Jana, Biswapati] Vidyasagar Univ, Dept Comp Sci, West Midnapore 721102, India; [Joardar, Subhankar] Haldia Inst Technol, Dept Comp Sc &amp; Engn, Haldia, West Bengal, India</t>
  </si>
  <si>
    <t>Haldia Institute of Technology; Vidyasagar University; Haldia Institute of Technology</t>
  </si>
  <si>
    <t>Jana, B (corresponding author), Vidyasagar Univ, Dept Comp Sci, West Midnapore 721102, India.</t>
  </si>
  <si>
    <t>1319-1578</t>
  </si>
  <si>
    <t>2213-1248</t>
  </si>
  <si>
    <t>10.1016/j.jksuci.2021.12.011</t>
  </si>
  <si>
    <t>Sharma, Prayatna; Mondal, Krishnendu; Mondal, Keshab Chandra; Thakur, Nagendra</t>
  </si>
  <si>
    <t>Hunt for α-amylase from metagenome and strategies to improve its thermostability: a systematic review</t>
  </si>
  <si>
    <t>[Sharma, Prayatna; Thakur, Nagendra] Sikkim Univ, Sch Life Sci, Dept Microbiol, 6th Mile, Gangtok 737102, Sikkim, India; [Mondal, Krishnendu; Mondal, Keshab Chandra] Vidyasagar Univ, Dept Microbiol, Midnapore 721102, W Bengal, India</t>
  </si>
  <si>
    <t>Sikkim University; Vidyasagar University</t>
  </si>
  <si>
    <t>Thakur, N (corresponding author), Sikkim Univ, Sch Life Sci, Dept Microbiol, 6th Mile, Gangtok 737102, Sikkim, India.</t>
  </si>
  <si>
    <t>10.1007/s11274-022-03396-0</t>
  </si>
  <si>
    <t>Bhattacharjee, Indranil; Mandal, Biplab; Chakravorty, Partha Pratim</t>
  </si>
  <si>
    <t>Evaluation of mosquito larvicidal activity of Azolla pinnata leaf extracts against the filarial vector Culex quinquefasciatus</t>
  </si>
  <si>
    <t>INDIAN JOURNAL OF NATURAL PRODUCTS AND RESOURCES</t>
  </si>
  <si>
    <t>[Bhattacharjee, Indranil; Chakravorty, Partha Pratim] Raja Narendra Lal Khan Womens Coll Autonomous, Nat &amp; Appl Sci Res Ctr, PG Dept Zool, Paschim Medinipur 721102, W Bengal, India; [Bhattacharjee, Indranil] Dr Bhupendranath Dutta Smriti Mahavidyalaya, Dept Zool, Hatgobindapur 713407, W Bengal, India; [Mandal, Biplab] Vidyasagar Univ, Dept Zool, Paschim Medinipur 721102, W Bengal, India</t>
  </si>
  <si>
    <t>Chakravorty, PP (corresponding author), Raja Narendra Lal Khan Womens Coll Autonomous, Nat &amp; Appl Sci Res Ctr, PG Dept Zool, Paschim Medinipur 721102, W Bengal, India.</t>
  </si>
  <si>
    <t>NATL INST SCIENCE COMMUNICATION &amp; INFORMATION RESOURCES-NISCAIR</t>
  </si>
  <si>
    <t>DR K S KRISHNAN MARG, PUSA CAMPUS, NEW DELHI, 110 012, INDIA</t>
  </si>
  <si>
    <t>0976-0504</t>
  </si>
  <si>
    <t>0976-0512</t>
  </si>
  <si>
    <t>Samanta, A; Mukherjee, K; Jana, PC</t>
  </si>
  <si>
    <t>Samanta, Anjan; Mukherjee, Kousik; Jana, Paresh Chandra</t>
  </si>
  <si>
    <t>Conventional and Unconventional Photon Blockade in a Double-Cavity Optomechanical System</t>
  </si>
  <si>
    <t>BRAZILIAN JOURNAL OF PHYSICS</t>
  </si>
  <si>
    <t>Photon blockade; Kerr nonlinearity; Optomechanics; Antibunching; Correlation function</t>
  </si>
  <si>
    <t>STRONGLY INTERACTING PHOTONS; OPTICAL CAVITY; QUANTUM; SIMULATIONS; DYNAMICS; LIGHT</t>
  </si>
  <si>
    <t>We have analyzed the photon blockade effect in a double-cavity optomechanical system. We have explained the conventional and unconventional photon blockade effects in both weak and strong Kerr-nonlinear regimes. Through the analytical solution of the non-Hermitian Hamiltonian and the numerical solution of the master equation, the second-order correlation function of the cavity field has been calculated. We can control photon blockade effects under a small value of external pump amplitude. In this theoretical simulation, both numerical and analytical results are agreed well. The photon blockade effect is visualized by using a different contour plot. In this study, we achieve the optimal conditions for red detuning and blue detuning. We can control the rate of transmission and minimal points to locate g20\documentclass[12pt]{minimal} \usepackage{amsmath} \usepackage{wasysym} \usepackage{amsfonts} \usepackage{amssymb} \usepackage{amsbsy} \usepackage{mathrsfs} \usepackage{upgreek} \setlength{\oddsidemargin}{-69pt} \begin{document}$${g}_{2}\left(0\right)$$\end{document}. This proposal may be used to generate a single photon source with sub-Poissonian distribution and can also be useful for quantum information processing in quantum communication technology.</t>
  </si>
  <si>
    <t>[Samanta, Anjan] Sabang Sajanikanta Mahavidyalaya, Dept Phys, Lutunia 721166, India; [Samanta, Anjan; Mukherjee, Kousik; Jana, Paresh Chandra] Vidyasagar Univ, Dept Phys, Paschim Medinipur 721102, India; [Mukherjee, Kousik] Govt Gen Degree Coll Gopiballavpur II, Dept Phys, Jhargram 721517, India</t>
  </si>
  <si>
    <t>Samanta, A (corresponding author), Sabang Sajanikanta Mahavidyalaya, Dept Phys, Lutunia 721166, India.;Samanta, A (corresponding author), Vidyasagar Univ, Dept Phys, Paschim Medinipur 721102, India.</t>
  </si>
  <si>
    <t>0103-9733</t>
  </si>
  <si>
    <t>1678-4448</t>
  </si>
  <si>
    <t>10.1007/s13538-024-01433-x</t>
  </si>
  <si>
    <t>Mondal, Uttam; Mahapatra, Tanmoy; Xin, Qin; Pal, Madhumangal</t>
  </si>
  <si>
    <t>Solution of road network problem with the help of m-polar fuzzy graph using isometric and antipodal concept</t>
  </si>
  <si>
    <t>[Mondal, Uttam; Pal, Madhumangal] Vidyasagar Univ, Dept Appl Math Oceanol &amp; Comp Programming, Midnapore 721102, India; [Mahapatra, Tanmoy] Ramkrishna Mahato Govt Engg Coll, Dept Math, Purulia 723103, India; [Xin, Qin] Univ Faroe Isl, Fac Sci &amp; Technol, Vestara Bryggja 15, FO-100 Torshavn, Faroe Islands</t>
  </si>
  <si>
    <t>10.1038/s41598-023-33071-9</t>
  </si>
  <si>
    <t>Ghosh, Susmita; Sarkar, Biplab; Islam, Aznarul; Shit, Pravat Kumar</t>
  </si>
  <si>
    <t>Assessing the Suitability of Surface Water and Groundwater for Irrigation Based on Hydro-chemical Analysis: A Study of the Mayurakshi River Basin, India</t>
  </si>
  <si>
    <t>AIR SOIL AND WATER RESEARCH</t>
  </si>
  <si>
    <t>[Ghosh, Susmita; Sarkar, Biplab; Islam, Aznarul] Aliah Univ, Pk Circus, Kolkata, India; [Shit, Pravat Kumar] Vidyasagar Univ, Raja NL Khan Womens Coll, Midnapore, West Bengal, India; [Islam, Aznarul] Aliah Univ, Dept Geog, 17 Gora Chand Rd,Pk Circus, Kolkata 700014, India</t>
  </si>
  <si>
    <t>Aliah University; Vidyasagar University; Aliah University</t>
  </si>
  <si>
    <t>Islam, A (corresponding author), Aliah Univ, Dept Geog, 17 Gora Chand Rd,Pk Circus, Kolkata 700014, India.</t>
  </si>
  <si>
    <t>1178-6221</t>
  </si>
  <si>
    <t>10.1177/11786221211065485</t>
  </si>
  <si>
    <t>Kar, S; Pal, T; Ghosh, S</t>
  </si>
  <si>
    <t>Kar, Sayani; Pal, Tanusri; Ghosh, Surajit</t>
  </si>
  <si>
    <t>Reduced Graphene Oxide-SnSe Nanocomposite Photocatalyst with High Apparent Quantum Yield for the Photodegradation of Norfloxacin</t>
  </si>
  <si>
    <t>ACS APPLIED NANO MATERIALS</t>
  </si>
  <si>
    <t>RGO-SnSe composite; photocatalysis; norfloxacin degradation; quantum yield; energyconsumption</t>
  </si>
  <si>
    <t>HYDROGEN EVOLUTION; DEGRADATION; WATER; COMPOSITE; PERFORMANCE; ADSORPTION</t>
  </si>
  <si>
    <t>A visible-light-responsive photocatalyst, comprising reduced graphene oxide (RGO) modified tin selenide (SnSe), was fabricated via a cost-effective, one-pot, easy-to-achieve, single-step solvothermal method. The Brunauer-Emmett-Teller analysis shows SnSe with a specific surface area of about 0.3 m(2) g(-1), while RGO-SnSe significantly increases it to 8.44 m(2) g(-1). The photocatalytic kinetics of the RGO-SnSe composite revealed a pseudo-first-order reaction mechanism during the degradation of norfloxacin antibiotics in an aqueous environment. Results indicated that an increase in RGO content in the composites led to enhanced degradation efficiency and apparent quantum yield, reaching maximum values of 90.7 and 11.37%, respectively, at a specific RGO loading of 37 wt %. These values were found to be 3.6 times higher than pure SnSe. However, further augmentation of RGO resulted in a decline in both efficiency and yield. The enhanced catalytic performance can be attributed to the improved synergy between RGO and SnSe. The electrical energy per order was calculated to assess the energy efficiency of the photocatalytic degradation process, yielding a low value of 6.7 kW h m(-3)/order for the RGO-SnSe composite with a loading of 0.75 mg/L RGO-SnSe catalyst. The photocatalytic activity of the composite remained nearly unchanged for at least four repeated cycles without any degradation of the catalyst. This outcome underscores the efficacy of the RGO-SnSe composite as an efficient and sustainable technique for antibiotic degradation with a high apparent quantum yield and low energy consumption.</t>
  </si>
  <si>
    <t>[Kar, Sayani; Ghosh, Surajit] Vidyasagar Univ, Dept Phys, Midnapore 721102, India; [Pal, Tanusri] Midnapore Coll, Dept Phys, Midnapore 721101, India</t>
  </si>
  <si>
    <t>Ghosh, S (corresponding author), Vidyasagar Univ, Dept Phys, Midnapore 721102, India.;Pal, T (corresponding author), Midnapore Coll, Dept Phys, Midnapore 721101, India.</t>
  </si>
  <si>
    <t>2574-0970</t>
  </si>
  <si>
    <t>10.1021/acsanm.4c00282</t>
  </si>
  <si>
    <t>Nanoscience &amp; Nanotechnology; Materials Science, Multidisciplinary</t>
  </si>
  <si>
    <t>Science &amp; Technology - Other Topics; Materials Science</t>
  </si>
  <si>
    <t>Kakkar, A; Sarkar, S</t>
  </si>
  <si>
    <t>Kakkar, Astha; Sarkar, Swarnendu</t>
  </si>
  <si>
    <t>Phases of theories with fermions in AdS</t>
  </si>
  <si>
    <t>JOURNAL OF HIGH ENERGY PHYSICS</t>
  </si>
  <si>
    <t>[Kakkar, Astha] Univ Delhi, Dept Phys &amp; Astrophys, Delhi 110007, India; [Sarkar, Swarnendu] Vidyasagar Univ, Dept Phys, Midnapore 721102, India</t>
  </si>
  <si>
    <t>University of Delhi; Vidyasagar University</t>
  </si>
  <si>
    <t>Kakkar, A (corresponding author), Univ Delhi, Dept Phys &amp; Astrophys, Delhi 110007, India.</t>
  </si>
  <si>
    <t>1029-8479</t>
  </si>
  <si>
    <t>10.1007/JHEP06(2023)009</t>
  </si>
  <si>
    <t>Physics, Particles &amp; Fields</t>
  </si>
  <si>
    <t>De, Ayan; Mridha, Deepanjan; Roychowdhury, Tarit; Bandyopadhyay, Bidyut; Panja, Anindya Sundar</t>
  </si>
  <si>
    <t>Substrate level optimization for better yield of oyster mushroom (Pleurotus ostreatus) production, using different ratio of rice straw and sugarcane bagasse</t>
  </si>
  <si>
    <t>[De, Ayan; Mridha, Deepanjan; Roychowdhury, Tarit] Jadavpur Univ, Sch Environm Studies, Kolkata 700032, W Bengal, India; [Bandyopadhyay, Bidyut] Vidyasagar Univ, Oriental Inst Sci &amp; Technol, Dept Biotechnol, West Midnapore 721102, W Bengal, India; [Panja, Anindya Sundar] Vidyasagar Univ, Oriental Inst Sci &amp; Technol, Dept Biotechnol, Mol Informat Lab, West Midnapore 721102, W Bengal, India</t>
  </si>
  <si>
    <t>Jadavpur University; Vidyasagar University; Vidyasagar University</t>
  </si>
  <si>
    <t>Panja, AS (corresponding author), Vidyasagar Univ, Oriental Inst Sci &amp; Technol, Dept Biotechnol, Mol Informat Lab, West Midnapore 721102, W Bengal, India.</t>
  </si>
  <si>
    <t>10.1007/s11274-023-03714-0</t>
  </si>
  <si>
    <t>Ghosh, Srinjana; Saha, Santanu; Chakraborty, Susanta Kumar</t>
  </si>
  <si>
    <t>The floral associates of fireflies (Coleoptera: Lampyridae: Luciolinae) as recorded in two eastern Indian states with reference to their display plants</t>
  </si>
  <si>
    <t>JOURNAL OF ASIA-PACIFIC BIODIVERSITY</t>
  </si>
  <si>
    <t>[Ghosh, Srinjana] Bethune Coll, Post Grad Dept Zool, 181 Bidhan Sarani, Kolkata 700006, W Bengal, India; [Saha, Santanu] Bidhannagar Coll, Post Grad Dept Bot, Kolkata 700064, W Bengal, India; [Chakraborty, Susanta Kumar] Vidyasagar Univ, Dept Zool, Midnapore 721102, W Bengal, India</t>
  </si>
  <si>
    <t>Ghosh, S (corresponding author), Bethune Coll, Post Grad Dept Zool, 181 Bidhan Sarani, Kolkata 700006, W Bengal, India.</t>
  </si>
  <si>
    <t>NATL SCIENCE MUSEUM &amp; KOREAN NATL ARBORETUM</t>
  </si>
  <si>
    <t>DAEJEON</t>
  </si>
  <si>
    <t>481 DAEDEOK-DAERO, YUSEONG-GU, DAEJEON, 34143, SOUTH KOREA</t>
  </si>
  <si>
    <t>2287-9544</t>
  </si>
  <si>
    <t>J ASIA-PAC BIODIVERS</t>
  </si>
  <si>
    <t>J. Asia-Pac. Biodivers.</t>
  </si>
  <si>
    <t>10.1016/j.japb.2023.03.008</t>
  </si>
  <si>
    <t>Biodiversity Conservation; Biology</t>
  </si>
  <si>
    <t>Biodiversity &amp; Conservation; Life Sciences &amp; Biomedicine - Other Topics</t>
  </si>
  <si>
    <t>Thockchom, Ngamba; Singh, Moirangthem Marjit; Nandi, Utpal</t>
  </si>
  <si>
    <t>A novel ensemble learning-based model for network intrusion detection</t>
  </si>
  <si>
    <t>[Thockchom, Ngamba; Singh, Moirangthem Marjit] North Eastern Reg Inst Sci &amp; Technol, Dept Comp Sci &amp; Engn, Nirjuli, Arunachal Prade, India; [Nandi, Utpal] Vidyasagar Univ, Dept Comp Sci, Midnapore, W Bengal, India</t>
  </si>
  <si>
    <t>North Eastern Regional Institute of Science &amp; Technology (NERIST); Vidyasagar University</t>
  </si>
  <si>
    <t>Singh, MM (corresponding author), North Eastern Reg Inst Sci &amp; Technol, Dept Comp Sci &amp; Engn, Nirjuli, Arunachal Prade, India.</t>
  </si>
  <si>
    <t>10.1007/s40747-023-01013-7</t>
  </si>
  <si>
    <t>Saha, Subhajit; Al Mamon, Abdulla; Saha, Somnath</t>
  </si>
  <si>
    <t>Evolution of primordial black holes in an adiabatic FLRW universe with gravitational particle creation</t>
  </si>
  <si>
    <t>GENERAL RELATIVITY AND GRAVITATION</t>
  </si>
  <si>
    <t>[Saha, Subhajit] Panihati Mahavidyalaya, Dept Math, Kolkata 700110, W Bengal, India; [Al Mamon, Abdulla] Vidyasagar Univ, Dept Phys, Vivekananda Satavarshiki Mahavidyalaya, Manikpara 721513, W Bengal, India; [Saha, Somnath] Sree Chaitanya Coll, Dept Math, Habra 743268, W Bengal, India</t>
  </si>
  <si>
    <t>Saha, S (corresponding author), Panihati Mahavidyalaya, Dept Math, Kolkata 700110, W Bengal, India.</t>
  </si>
  <si>
    <t>0001-7701</t>
  </si>
  <si>
    <t>1572-9532</t>
  </si>
  <si>
    <t>10.1007/s10714-022-03010-6</t>
  </si>
  <si>
    <t>Astronomy &amp; Astrophysics; Physics, Multidisciplinary; Physics, Particles &amp; Fields</t>
  </si>
  <si>
    <t>Astronomy &amp; Astrophysics; Physics</t>
  </si>
  <si>
    <t>On partition functions and phases of scalars in AdS</t>
  </si>
  <si>
    <t>[Kakkar, Astha; Sarkar, Swarnendu] Univ Delhi, Dept Phys &amp; Astrophys, Delhi 110007, India; [Sarkar, Swarnendu] Vidyasagar Univ, Dept Phys, Midnapore 721102, India</t>
  </si>
  <si>
    <t>10.1007/JHEP07(2022)089</t>
  </si>
  <si>
    <t>Mondal, B; Barman, K; Debnath, K</t>
  </si>
  <si>
    <t>Mondal, Buddhadeb; Barman, Krishnendu; Debnath, Koustuv</t>
  </si>
  <si>
    <t>Effect of wind and ecological-degradation on environmental dispersion for three-layer depth-dominated wetland flow</t>
  </si>
  <si>
    <t>INTERNATIONAL JOURNAL OF HEAT AND FLUID FLOW</t>
  </si>
  <si>
    <t>Three-layer-wetland; Environmental dispersion; Wind drag; Multi-scale analysis; Ecological-degradation</t>
  </si>
  <si>
    <t>CONTAMINANT TRANSPORT; CONSTRUCTED WETLAND; OSCILLATORY FLOWS; INDICATORS; CHANNELS; STEADY; SOLUTE; TUBE</t>
  </si>
  <si>
    <t>A three-layer depth-dominated wetland flow with ecological-degradation and free-surface-wind effect is studied to comprehend the contaminant transport in wetlands with aquatic vegetation that find wide application in agricultural water pollution management, and wastewater treatment. The present paper attempts to highlight the effect of wind on depth-dominated velocity and environmental dispersion in terms of longitudinal mean concentration. Also, the longitudinal mean concentration is analysed taking the effect of different ecologicaldegradation reaction rates for each layer. It is observed that the peak level of mean concentration decreases with the increase of both ecological-degradation reaction rate and wind intensity. The velocity distribution and environmental dispersion are derived analytically from the basic momentum and mass transport equations. Results indicate that the velocity and dispersion coefficient are greatly influenced by the wind force, in terms of its magnitude as well as the direction. To measure the environmental dispersivity, a Mei's multi-scale analysis is performed. For the typical contaminant Pb, the critical length and time duration of the region influenced by the contaminant transport are analytically derived and its dependence on different wind intensities is explored. Further, the present paper presents the comparison of the critical length and time of the pollutant affected area between the three-layer and two-layer wetland flow.</t>
  </si>
  <si>
    <t>[Mondal, Buddhadeb; Barman, Krishnendu] Vidyasagar Univ, Dept Appl Math Oceanol &amp; Comp Programming, Midnapore 721102, India; [Debnath, Koustuv] Indian Inst Engn Sci &amp; Technol IIEST, Dept Aerosp Engn &amp; Appl Mech, Sibpur 711103, India</t>
  </si>
  <si>
    <t>Barman, K (corresponding author), Vidyasagar Univ, Dept Appl Math Oceanol &amp; Comp Programming, Midnapore 721102, India.</t>
  </si>
  <si>
    <t>0142-727X</t>
  </si>
  <si>
    <t>1879-2278</t>
  </si>
  <si>
    <t>10.1016/j.ijheatfluidflow.2024.109443</t>
  </si>
  <si>
    <t>Sit, Godhuli; Jana, Arun; Chanda, Angsuman; Sahu, Sanjat Kumar</t>
  </si>
  <si>
    <t>Record of zipper loach Paracanthocobitis mackenziei (Chaudhuri, 1910), an indigenous ornamental fish from West Bengal, India</t>
  </si>
  <si>
    <t>JOURNAL OF FISHERIES</t>
  </si>
  <si>
    <t>[Sit, Godhuli; Jana, Arun; Chanda, Angsuman] Vidyasagar Univ, Dept Zool, Raja Narendralal Khan Womens Coll, Nat &amp; Appl Sci Res Ctr, Midnapore, West Bengal, India; [Chanda, Angsuman; Sahu, Sanjat Kumar] Sambalpur Univ, Dept Environm Sci, Sambalpur 768019, Odisha, India</t>
  </si>
  <si>
    <t>Vidyasagar University; Sambalpur University</t>
  </si>
  <si>
    <t>Chanda, A (corresponding author), Vidyasagar Univ, Nat &amp; Appl Sci Res Ctr, Raja NL Khan Womens Coll, Midnapore 721102, West Bengal, India.</t>
  </si>
  <si>
    <t>BDFISH</t>
  </si>
  <si>
    <t>RAJSHAHI</t>
  </si>
  <si>
    <t>DEPT FISHERIES, UNIV RAJSHAHI, RAJSHAHI, 6205, BANGLADESH</t>
  </si>
  <si>
    <t>2311-729X</t>
  </si>
  <si>
    <t>2311-3111</t>
  </si>
  <si>
    <t>10.17017/j.fish.477</t>
  </si>
  <si>
    <t>Removal of Norfloxacin from Wastewater by Adsorption onto SnS2 Followed by Photocatalytic Degradation</t>
  </si>
  <si>
    <t>[Kar, Sayani; Ghosh, Surajit] Vidyasagar Univ, Dept Phys, Midnapore 721102, WB, India; [Pal, Tanusri] Midnapore Coll, Dept Phys, Midnapore 721101, WB, India</t>
  </si>
  <si>
    <t>Ghosh, S (corresponding author), Vidyasagar Univ, Dept Phys, Midnapore 721102, WB, India.;Pal, T (corresponding author), Midnapore Coll, Dept Phys, Midnapore 721101, WB, India.</t>
  </si>
  <si>
    <t>10.1002/slct.202300878</t>
  </si>
  <si>
    <t>Singh, Prabhash Kumar; Jana, Biswapati; Datta, Kakali</t>
  </si>
  <si>
    <t>Fuzzy proximity-based robust data hiding scheme with interval threshold</t>
  </si>
  <si>
    <t>[Singh, Prabhash Kumar; Jana, Biswapati] Vidyasagar Univ, Dept Comp Sci, West Midnapore, W Bengal, India; [Singh, Prabhash Kumar; Datta, Kakali] Visva Bharati Univ, Dept Comp &amp; Syst Sci, Santini Ketan, W Bengal, India</t>
  </si>
  <si>
    <t>Vidyasagar University; Visva Bharati University</t>
  </si>
  <si>
    <t>Jana, B (corresponding author), Vidyasagar Univ, Dept Comp Sci, West Midnapore, W Bengal, India.</t>
  </si>
  <si>
    <t>10.1007/s00500-022-07552-4</t>
  </si>
  <si>
    <t>Ghosh, R. P.; Gupta, B.</t>
  </si>
  <si>
    <t>Broadband Printed Dipole Antennas</t>
  </si>
  <si>
    <t>2022 IEEE INTERNATIONAL IOT, ELECTRONICS AND MECHATRONICS CONFERENCE (IEMTRONICS)</t>
  </si>
  <si>
    <t>Proceedings Paper</t>
  </si>
  <si>
    <t>[Ghosh, R. P.] Vidyasagar Univ, Dept Elect, Midnapore 721102, India; [Gupta, B.] Jadavpur Univ, Dept Elect &amp; Telecommun Engn, Kol 32, India</t>
  </si>
  <si>
    <t>Vidyasagar University; Jadavpur University</t>
  </si>
  <si>
    <t>Ghosh, RP (corresponding author), Vidyasagar Univ, Dept Elect, Midnapore 721102, India.</t>
  </si>
  <si>
    <t>IEEE</t>
  </si>
  <si>
    <t>345 E 47TH ST, NEW YORK, NY 10017 USA</t>
  </si>
  <si>
    <t>10.1109/IEMTRONICS55184.2022.9795826</t>
  </si>
  <si>
    <t>Engineering, Electrical &amp; Electronic; Engineering, Mechanical; Telecommunications</t>
  </si>
  <si>
    <t>Conference Proceedings Citation Index - Science (CPCI-S)</t>
  </si>
  <si>
    <t>Engineering; Telecommunications</t>
  </si>
  <si>
    <t>Mandal, Prasenjit; Samanta, Sovan; Pal, Madhumangal; Ranadive, A. S.</t>
  </si>
  <si>
    <t>Regret theory based three-way conflict analysis model under q-rung orthopair fuzzy information: studies with parameter and three-way decision-making-based approaches</t>
  </si>
  <si>
    <t>[Mandal, Prasenjit; Pal, Madhumangal] Vidyasagar Univ, Dept Appl Math Oceanol &amp; Comp Programming, Midnapore 721102, WB, India; [Samanta, Sovan] Tamralipta Mahavidyalaya, Dept Math, Tamluk 721636, WB, India; [Ranadive, A. S.] Guru Ghasidas Vishwavidyalaya, Dept Pure &amp; Appl Math, Bilaspur 495009, Chhattisgarh, India</t>
  </si>
  <si>
    <t>Vidyasagar University; Guru Ghasidas Vishwavidyalaya</t>
  </si>
  <si>
    <t>SUPPL3</t>
  </si>
  <si>
    <t>10.1007/s10462-023-10607-z</t>
  </si>
  <si>
    <t>Midya, S; Chowdhuri, P; Pal, P</t>
  </si>
  <si>
    <t>Midya, Shweta; Chowdhuri, Partha; Pal, Pabitra</t>
  </si>
  <si>
    <t>High-fidelity reversible data-hiding technique in encrypted images using pixel value ordering and center folding strategy</t>
  </si>
  <si>
    <t>JOURNAL OF ELECTRONIC IMAGING</t>
  </si>
  <si>
    <t>pixel value ordering; center folding strategy; reversible data hiding; pixel value difference; image encryption; Industrial Internet of Things</t>
  </si>
  <si>
    <t>We propose a reversible data-hiding approach in encrypted images (RDHEI) to cope with the new security threats emerging with artificial intelligence and the Industrial Internet of Things (IIoT). This dual image-based high-capacity RDHEI technique ensures security with better embedding capacity. On the sender side, the correlations of adjacent pixels are disrupted by encryption. Hence, except for the intended receiver, no one can intercept the image. This encrypted image is used as a cover image, and pixel value ordering is applied. After that, the center folding strategy is used to form dual stego images for hiding data inside both images. Pixels with maximum and minimum values are employed for data hiding. The experimental results indicate the greater resilience and imperceptibility of the discussed technique over several current strategies. The suggested plan incorporates secret bits based on the image properties. One benefit of using the suggested technique is that the process of decrypting the image and extracting the data are independent. The recipient with just the data-hiding key may recover the concealed data without any compromise, while the receiver with only the decryption key can precisely retrieve the original image without any knowledge of the data-hiding key. This makes this scheme suitable for IIoT devices with a limited processing power for image collection. (c) 2024 SPIE and IS&amp;T</t>
  </si>
  <si>
    <t>[Midya, Shweta; Chowdhuri, Partha] Vidyasagar Univ, Dept Comp Sci, Paschim Medinipur, W Bengal, India; [Pal, Pabitra] Maulana Abul Kalam Azad Univ Technol, Dept Comp Applicat, Nadia, W Bengal, India</t>
  </si>
  <si>
    <t>Chowdhuri, P (corresponding author), Vidyasagar Univ, Dept Comp Sci, Paschim Medinipur, W Bengal, India.</t>
  </si>
  <si>
    <t>SPIE-SOC PHOTO-OPTICAL INSTRUMENTATION ENGINEERS</t>
  </si>
  <si>
    <t>BELLINGHAM</t>
  </si>
  <si>
    <t>1000 20TH ST, PO BOX 10, BELLINGHAM, WA 98225 USA</t>
  </si>
  <si>
    <t>1017-9909</t>
  </si>
  <si>
    <t>1560-229X</t>
  </si>
  <si>
    <t>SEP 1</t>
  </si>
  <si>
    <t>10.1117/1.JEI.33.5.053025</t>
  </si>
  <si>
    <t>Engineering, Electrical &amp; Electronic; Optics; Imaging Science &amp; Photographic Technology</t>
  </si>
  <si>
    <t>Engineering; Optics; Imaging Science &amp; Photographic Technology</t>
  </si>
  <si>
    <t>Ganguly, S; Das, P; Maiti, M</t>
  </si>
  <si>
    <t>Ganguly, Sanchari; Das, Pritha; Maiti, Manoranjan</t>
  </si>
  <si>
    <t>Effects of Imprecise Cognitive Biases and Free-Riding on the Pricing Decisions of Dual-Channel Supply Chain Members</t>
  </si>
  <si>
    <t>INTERNATIONAL GAME THEORY REVIEW</t>
  </si>
  <si>
    <t>Game theory; fuzzy theory; free-riding; fairness; overconfidence; green supply chain</t>
  </si>
  <si>
    <t>FAIRNESS CONCERN; COORDINATION; OVERCONFIDENCE; CONTRACTS; POLICIES; DEMAND; DESIGN</t>
  </si>
  <si>
    <t>Nowadays, to cater the increasing green customers, firms have switched to green manufacturing. In a dual-channel green supply chain (DCGSC), customers experience products at offline stores and buy them online (free-riding). Often imprecise cognitive biases (fairness concern and overconfidence) are observed among the supply chain (SC) members. With these facts, this study introduces the free-riding and above cognitive biases in a DCGSC with a manufacturer selling a green product through own online and offline retail channels and examines their effects. A centralized and four decentralized models (for green and nongreen products) are formulated depending upon channel members' cognitive biases individually and jointly with and without free-riding. The fuzzy objectives and constraints are made deterministic using expectation and possibility measures, respectively. Models are solved and illustrated numerically. The results indicate that free-riding is harmful and beneficial to retailer and manufacturer, respectively. Manufacturer's overconfidence enhances the retailer's profit but decreases or increases own profit depending upon the salvage value. Retailer's fairness concern is catastrophic for manufacturer but beneficial for her. Product greening increases manufacturer's profit than the carbon tax regulation for lower emissions. In addition to above observations, for maximum profit, management should not go for greening beyond an optimum level.</t>
  </si>
  <si>
    <t>[Ganguly, Sanchari; Das, Pritha] Indian Inst Engn Sci &amp; Technol, Dept Math, Shibpur Howrah 711103, West Bengal, India; [Maiti, Manoranjan] Vidyasagar Univ Midnapore, Dept Appl Math Oceanol &amp; Comp Programming, Midnapore 721102, West Bengal, India</t>
  </si>
  <si>
    <t>Indian Institute of Engineering Science Technology Shibpur (IIEST); Vidyasagar University</t>
  </si>
  <si>
    <t>Ganguly, S (corresponding author), Indian Inst Engn Sci &amp; Technol, Dept Math, Shibpur Howrah 711103, West Bengal, India.</t>
  </si>
  <si>
    <t>0219-1989</t>
  </si>
  <si>
    <t>1793-6675</t>
  </si>
  <si>
    <t>10.1142/S0219198924500075</t>
  </si>
  <si>
    <t>Mathematics, Interdisciplinary Applications</t>
  </si>
  <si>
    <t>Chatterjee, Uday; Majumdar, Sushobhan</t>
  </si>
  <si>
    <t>Impact of land use change and rapid urbanization on urban heat island in Kolkata city: A remote sensing based perspective</t>
  </si>
  <si>
    <t>JOURNAL OF URBAN MANAGEMENT</t>
  </si>
  <si>
    <t>[Chatterjee, Uday] Vidyasagar Univ, Bhatter Coll, Geog, Dantan 721101, W Bengal, India; [Majumdar, Sushobhan] Jadavpur Univ, Dept Geog, Kolkata 700032, W Bengal, India</t>
  </si>
  <si>
    <t>Chatterjee, U (corresponding author), Vidyasagar Univ, Bhatter Coll, Geog, Dantan 721101, W Bengal, India.</t>
  </si>
  <si>
    <t>2226-5856</t>
  </si>
  <si>
    <t>2589-0360</t>
  </si>
  <si>
    <t>10.1016/j.jum.2021.09.002</t>
  </si>
  <si>
    <t>Urban Studies</t>
  </si>
  <si>
    <t>Jana, Sharmistha; Jana, Biswapati; Singh, Prabhash Kumar; Bera, Prasenjit</t>
  </si>
  <si>
    <t>Voronoi Diagrams Based Digital Tattoo for Multimedia Data Protection</t>
  </si>
  <si>
    <t>ADVANCED NETWORK TECHNOLOGIES AND INTELLIGENT COMPUTING, ANTIC 2021</t>
  </si>
  <si>
    <t>[Jana, Sharmistha] Chaoyang Univ Technol, Dept Informat Management, Taichung, Taiwan; [Jana, Biswapati; Singh, Prabhash Kumar; Bera, Prasenjit] Vidyasagar Univ, Dept Comp Sci, Midnapore, W Bengal, India</t>
  </si>
  <si>
    <t>Chaoyang University of Technology; Vidyasagar University</t>
  </si>
  <si>
    <t>Jana, B (corresponding author), Vidyasagar Univ, Dept Comp Sci, Midnapore, W Bengal, India.</t>
  </si>
  <si>
    <t>SPRINGER INTERNATIONAL PUBLISHING AG</t>
  </si>
  <si>
    <t>1865-0929</t>
  </si>
  <si>
    <t>1865-0937</t>
  </si>
  <si>
    <t>COMM COM INF SC</t>
  </si>
  <si>
    <t>10.1007/978-3-030-96040-7_58</t>
  </si>
  <si>
    <t>Computer Science, Artificial Intelligence; Computer Science, Software Engineering; Computer Science, Theory &amp; Methods</t>
  </si>
  <si>
    <t>Effect of hemispherical roughness spacing on double-averaged turbulence characteristics for different flow submergence</t>
  </si>
  <si>
    <t>CANADIAN JOURNAL OF CIVIL ENGINEERING</t>
  </si>
  <si>
    <t>rough bed; turbulence; double average; turbulent kinetic energy budget; anisotropy</t>
  </si>
  <si>
    <t>OPEN-CHANNEL FLOW; REYNOLDS STRESS; SQUARE BARS; BED; WAVE; ISOTROPY; RETURN; LAYER; RIBS</t>
  </si>
  <si>
    <t>The double-averaged (DA) turbulence characteristics over rough bed comprising of hemispherical elements with different spacing (p/r = 2, 4, 6, and 8; p = pitch distance; r = height of hemisphere) is quantified for three flow-submergences (h/r = 7.14, 5.35, 3.57; mean flow-depth (h) = 20 cm, 15 cm, and 10 cm). The production and dissipation rates of turbulent kinetic energy are maximum at and below the crest level. Within interfacial sublayer, the degree of anisotropy is observed to be maximum for p/r = 4 and the tendency for the return to isotropy is strongest for p/r = 8 in the outer layer. The turbulence generated in the bottom region is still present in the outer region for low flow-submergences. The turbulence strength is maintained in the roughness order (descending) as p/r = 4 &gt; 2 &gt; 6 &gt; 8 &gt; plane bed; wherein the change in flow-submergence does not change this order.</t>
  </si>
  <si>
    <t>[Shounda, Jayanta; Barman, Krishnendu] Vidyasagar Univ, Dept Appl Math, Oceanol &amp; Comp Programming, Midnapore 721102, India; [Debnath, Koustuv] Indian Inst Engn Sci &amp; Technol IIEST, Dept Aerosp Engn &amp; Appl Mech, Sibpur 711103, India</t>
  </si>
  <si>
    <t>Barman, K (corresponding author), Vidyasagar Univ, Dept Appl Math, Oceanol &amp; Comp Programming, Midnapore 721102, India.</t>
  </si>
  <si>
    <t>CANADIAN SCIENCE PUBLISHING</t>
  </si>
  <si>
    <t>OTTAWA</t>
  </si>
  <si>
    <t>123 Slater Street, Suite 610, OTTAWA, ON K1P 5H2, CANADA</t>
  </si>
  <si>
    <t>0315-1468</t>
  </si>
  <si>
    <t>1208-6029</t>
  </si>
  <si>
    <t>10.1139/cjce-2023-0360</t>
  </si>
  <si>
    <t>Engineering, Civil</t>
  </si>
  <si>
    <t>Kar, P; Ghosh, S; Payra, P; Chakrabarti, S; Pradhan, S; Mondal, KC; Ghosh, K</t>
  </si>
  <si>
    <t>Kar, Priyanka; Ghosh, Smita; Payra, Pijush; Chakrabarti, Sudipta; Pradhan, Shrabani; Mondal, Keshab Ch.; Ghosh, Kuntal</t>
  </si>
  <si>
    <t>Characterization of a novel lytic bacteriophage VPMCC14 which efficiently controls Vibrio harveyi in Penaeus monodon culture</t>
  </si>
  <si>
    <t>INTERNATIONAL MICROBIOLOGY</t>
  </si>
  <si>
    <t>Caudoviricetes; Biocontrol; HicB family protein; Penaeus monodon</t>
  </si>
  <si>
    <t>GUT MICROBIOTA; DATABASE</t>
  </si>
  <si>
    <t>Vibrio harveyi causes luminous vibriosis diseases in shrimp, which lead to shrimp mortalities. Considering the emergence of antibiotic-resistant bacteria, a Vibrio-infecting bacteriophage, VPMCC14, was characterized, and its lysis ability was evaluated on a laboratory scale. VPMCC14 was shown to infect V. harveyi S5A and V. harveyi ATCC 14126. VPMCC14 also exhibited a latent period of 30 min, with a burst size of 38 PFU/cell on its propagation strain. The bacteriophage was stable at a wide range of pHs (3-9), temperatures (0-45(degrees)C), and salinities (up to 40 ppt). VPMCC14 exhibited strict virulence properties as the bacteriophage entirely lysed V. harveyi S5A in liquid culture inhibition after 5 h and 4 h at very low MOIs such as MOI 0.1 and MOI 1, respectively. VPMCC14 could control V. harveyi infection in aquariums at MOI 1 and decrease the mortality of Penaeus monodon challenged by V. harveyi. VPMCC14 genome was 134,472 bp long with a 34.5 G+C% content, and 240 open reading frames. A unique characteristic of VPMCC14 was the presence of the HicB family antitoxin-coding open reading frame. Comparative genomic analyses suggested that VPMCC14 could be a representative of a new genus in the Caudoviricetes class. This novel bacteriophage, VPMCC14, could be applied as a biocontrol agent for controlling V. harveyi infection.</t>
  </si>
  <si>
    <t>[Kar, Priyanka; Ghosh, Smita; Chakrabarti, Sudipta; Pradhan, Shrabani; Ghosh, Kuntal] Midnapore City Coll, Dept Biol Sci, Midnapore, West Bengal, India; [Kar, Priyanka; Ghosh, Smita] Vidyasagar Univ, Biodivers &amp; Environm Studies Res Ctr, Midnapore City Coll, Midnapore, West Bengal, India; [Payra, Pijush] Ramnagar Coll, Dept Ind Fish &amp; Fisheries, Ramnagar, West Bengal, India; [Mondal, Keshab Ch.] Vidyasagar Univ, Dept Microbiol, Midnapore, West Bengal, India</t>
  </si>
  <si>
    <t>1139-6709</t>
  </si>
  <si>
    <t>1618-1905</t>
  </si>
  <si>
    <t>10.1007/s10123-023-00456-9</t>
  </si>
  <si>
    <t>Amanathulla, Sk.; Bera, Biswajit; Pal, Madhumangal</t>
  </si>
  <si>
    <t>L(2; 1; 1)-labeling of interval graphs</t>
  </si>
  <si>
    <t>[Amanathulla, Sk.] Raghunathpur Coll, Dept Math, Purulia 723121, West Bengal, India; [Bera, Biswajit] Kabi Jagadram Roy Govt Gen Degree Coll, Dept Math, Bankura 722143, West Bengal, India; [Pal, Madhumangal] Vidyasagar Univ, Dept Appl Math Oceanol &amp; Comp Programming, Midnapore 721102, West Bengal, India</t>
  </si>
  <si>
    <t>Bera, B (corresponding author), Kabi Jagadram Roy Govt Gen Degree Coll, Dept Math, Bankura 722143, West Bengal, India.</t>
  </si>
  <si>
    <t>10.1142/S2661335222500034</t>
  </si>
  <si>
    <t>Maity, Shrabanti; Barlaskar, Ummey Rummana</t>
  </si>
  <si>
    <t>Women's political leadership and efficiency in reducing COVID-19 death rate: An application of technical inefficiency effects model across Indian states</t>
  </si>
  <si>
    <t>[Maity, Shrabanti] Vidyasagar Univ, Dept Econ, Midnapore, W Bengal, India; [Barlaskar, Ummey Rummana] Assam Univ, Dept Econ, Silchar, Assam, India</t>
  </si>
  <si>
    <t>10.1016/j.seps.2022.101263</t>
  </si>
  <si>
    <t>Arpita, Mandal; Tanmay, Paul; Chandra, Mondal Keshab</t>
  </si>
  <si>
    <t>Bioremediation of melanised poultry feather waste for production of mosquitocidal keratinase</t>
  </si>
  <si>
    <t>RESEARCH JOURNAL OF BIOTECHNOLOGY</t>
  </si>
  <si>
    <t>[Arpita, Mandal] Asutosh Coll, Dept Microbiol, 92 Shyama Prasad Mukherjee Rd, Kolkata 700026, WB, India; [Tanmay, Paul] CMOH Off, Paschim Midnapore, Dist Program Management Unit DPMU, Midnapore 721101, W Bengal, India; [Chandra, Mondal Keshab] Vidyasagar Univ, Dept Microbiol, Midnapore 721102, WB, India</t>
  </si>
  <si>
    <t>Chandra, MK (corresponding author), Vidyasagar Univ, Dept Microbiol, Midnapore 721102, WB, India.</t>
  </si>
  <si>
    <t>RESEARCH JOURNAL BIOTECHNOLOGY</t>
  </si>
  <si>
    <t>INDORE</t>
  </si>
  <si>
    <t>SECTOR A-80, SCHEME NO 54, VIJAY NAGAR, A B ROAD, INDORE, 452 010 MP, INDIA</t>
  </si>
  <si>
    <t>2278-4535</t>
  </si>
  <si>
    <t>Kuila, Debashis; Ghosh, Somdatta</t>
  </si>
  <si>
    <t>Aspects, problems and utilization of Arbuscular Mycorrhizal (AM) application as bio-fertilizer in sustainable agriculture</t>
  </si>
  <si>
    <t>CURRENT RESEARCH IN MICROBIAL SCIENCES</t>
  </si>
  <si>
    <t>[Kuila, Debashis; Ghosh, Somdatta] Midnapore Coll Autonomous, Mycorrhiza &amp; Microbiol Res Sect, Dept Bot UG PG, Midnapore 721101, WB, India; [Kuila, Debashis] Vidyasagar Univ, Dept Bot &amp; Forestry, Midnapore 721102, India</t>
  </si>
  <si>
    <t>Ghosh, S (corresponding author), Midnapore Coll Autonomous, Mycorrhiza &amp; Microbiol Res Sect, Dept Bot UG PG, Midnapore 721101, WB, India.</t>
  </si>
  <si>
    <t>2666-5174</t>
  </si>
  <si>
    <t>10.1016/j.crmicr.2022.100107</t>
  </si>
  <si>
    <t>Sarkar, NK; Singh, MM; Nandi, U</t>
  </si>
  <si>
    <t>Kumar Sarkar, Nayan; Marjit Singh, Moirangthem; Nandi, Utpal</t>
  </si>
  <si>
    <t>Image classification with deconvolution operation and augmentation</t>
  </si>
  <si>
    <t>COMPUTER JOURNAL</t>
  </si>
  <si>
    <t>FUSION</t>
  </si>
  <si>
    <t>Several image classification approaches have been evolved over the years utilizing convolutional neural network (CNN). In convolution operation of CNN, the shifting of kernels to overlapping regions of the image learns redundant data as the images are strongly correlated in reality. The redundant data make the neural network training a challenging task. Again, Deep Learning methods evaluated on small dataset yields degraded performance. To deal with these issues, a proposal is made in this paper that uses deconvolution operation to minimize correlations from images and data augmentation technique to increase the size of datasets. Plant Village, Tomato, and Covid-19 datasets were used for evaluating the performance of the proposed method. 70% of the datasets were used for training, 10% for validation, and 20% for testing purposes. The CIFAR10, MNIST, and Mini-ImageNet datasets were also considered for performance evaluation. The proposed method performed better than other existing methods in terms of classification accuracy.</t>
  </si>
  <si>
    <t>[Kumar Sarkar, Nayan; Marjit Singh, Moirangthem] North Eastern Reg Inst Sci &amp; Technol, Dept Comp Sci &amp; Engn, Nirjuli 791109, Arunachal Prade, India; [Nandi, Utpal] Vidyasagar Univ, Dept Comp Sci, Miidnapore 721101, West Bengal, India</t>
  </si>
  <si>
    <t>Singh, MM (corresponding author), North Eastern Reg Inst Sci &amp; Technol, Dept Comp Sci &amp; Engn, Nirjuli 791109, Arunachal Prade, India.</t>
  </si>
  <si>
    <t>0010-4620</t>
  </si>
  <si>
    <t>1460-2067</t>
  </si>
  <si>
    <t>10.1093/comjnl/bxae099</t>
  </si>
  <si>
    <t>Computer Science, Hardware &amp; Architecture; Computer Science, Information Systems; Computer Science, Software Engineering; Computer Science, Theory &amp; Methods</t>
  </si>
  <si>
    <t>Dey, C; Fasbender, U</t>
  </si>
  <si>
    <t>Dey, Chanchal; Fasbender, Ulrike</t>
  </si>
  <si>
    <t>Exploring the role of psychological ownership toward organizational innovation in family businesses</t>
  </si>
  <si>
    <t>JOURNAL OF ENTREPRENEURSHIP IN EMERGING ECONOMIES</t>
  </si>
  <si>
    <t>Psychological ownership; Knowledge transfer; Innovation; Governance practice; Family business; Moderated mediation</t>
  </si>
  <si>
    <t>SOCIOEMOTIONAL WEALTH; MODERATING ROLE; ENTREPRENEURIAL ORIENTATION; STEWARDSHIP THEORY; FIRMS; BEHAVIOR; MANAGEMENT; INVOLVEMENT; PERFORMANCE; GOVERNANCE</t>
  </si>
  <si>
    <t>PurposeThe purpose of this study is to understand the link between psychological ownership and organizational innovation in family businesses. The research also explored the mediating effect of knowledge transfer alongside the moderating role of governance practices.Design/methodology/approachA total of 116 family businesses across India took part in the study. Data were collected with the help of a structured questionnaire supplied to the seniormost family member of each firm. The data were analyzed by using the moderated mediation model analysis in R.FindingsThe findings indicate that psychological ownership is a key driver of organizational innovation in family businesses. The transfer of knowledge mediates the relationship between psychological ownership and organizational innovation. Moreover, governance practices of the businesses moderate the association between psychological ownership and knowledge transfer, and its downstream consequences on organizational innovation.Originality/valueWhile previous research has explored various aspects of nurturing innovation, the present study explores the effect of psychological ownership in the context of family businesses in India. This study also gives insights into how knowledge transfer and governance practices work together to influence innovation in these businesses.</t>
  </si>
  <si>
    <t>[Dey, Chanchal] Vidyasagar Univ, Dept Business Adm, Midnapore, India; [Fasbender, Ulrike] Univ Hohenheim, Dept Business &amp; Org Psychol, Stuttgart, Germany</t>
  </si>
  <si>
    <t>Vidyasagar University; University Hohenheim</t>
  </si>
  <si>
    <t>Dey, C (corresponding author), Vidyasagar Univ, Dept Business Adm, Midnapore, India.</t>
  </si>
  <si>
    <t>2053-4604</t>
  </si>
  <si>
    <t>2053-4612</t>
  </si>
  <si>
    <t>10.1108/JEEE-02-2024-0057</t>
  </si>
  <si>
    <t>Mondal, KC; Samanta, S; Mondal, S; Mondal, SP; Mondal, K; Halder, SK</t>
  </si>
  <si>
    <t>Mondal, Keshab Chandra; Samanta, Sudipta; Mondal, Subhadeep; Mondal, Saswati Parua; Mondal, Krishnendu; Halder, Suman Kumar</t>
  </si>
  <si>
    <t>Navigating the frontiers of mineral absorption in the human body: Exploring the impact of probiotic innovations</t>
  </si>
  <si>
    <t>Essential minerals; Gut microbiota</t>
  </si>
  <si>
    <t>Essential minerals play a crucial role in diverse physiological processes, and their deficiencies can give rise to significant health challenges. Probiotics, residing as beneficial microorganisms in the gut, have recently garnered attention for their potential in modulating mineral absorption and alleviating deficiencies. However, the difficulties arise from the variability of probiotic strains, varying dosages, and the distinct composition of individuals' gut microbiota, rendering it challenging to establish universal guidelines. A more nuanced understanding of these mechanisms holds the key to developing targeted probiotic interventions, ultimately optimizing mineral absorption and fostering human health. This review explores the complex relationship between probiotics and the assimilation of essential minerals such as iron, calcium, selenium, zinc, magnesium, and potassium, decoding how probiotics influence the absorption of these minerals. Further research on the role of probiotics in mineral absorption is necessary for optimizing nutrient uptake and informing personalized interventions to support overall health.</t>
  </si>
  <si>
    <t>[Mondal, Keshab Chandra; Samanta, Sudipta; Mondal, Krishnendu; Halder, Suman Kumar] Vidyasagar Univ, Dept Microbiol, Midnapore 721102, West Bengal, India; [Mondal, Subhadeep] Vidyasagar Univ, Ctr Life Sci, Midnapore 721102, West Bengal, India; [Mondal, Saswati Parua] Bajkul Milani Mahavidyalaya, Dept Physiol, Purba Medinipur 721626, West Bengal, India; [Halder, Suman Kumar] Vivekananda Mahavidyalaya, Dept Microbiol, Burdwan 713103, West Bengal, India</t>
  </si>
  <si>
    <t>10.56042/ijeb.v62i07.12071</t>
  </si>
  <si>
    <t>University of Gour Banga; Vidyasagar University</t>
  </si>
  <si>
    <t>Das, S (corresponding author), Univ Gour Banga, Dept Math, Malda 732103, India.</t>
  </si>
  <si>
    <t>RAttSR: A Novel Low-Cost Reconstructed Attention-Based End-to-End Speech Recognizer</t>
  </si>
  <si>
    <t>CIRCUITS SYSTEMS AND SIGNAL PROCESSING</t>
  </si>
  <si>
    <t>Automatic speech recognition; Mel-spectrogram; Convolution neural network; Long short term memory; Attention model</t>
  </si>
  <si>
    <t>People are curious about voice commands for the next generation of interaction. It will play a dominant role in communicating with smart devices in the future. However, language remains a significant barrier to the widespread use of these devices. Even the existing models for the traditional languages need to compute extensive parameters, resulting in higher computational costs. The most inconvenient in the latest advanced models is that they are unable to function on devices with constrained resources. This paper proposes a novel end-to-end speech recognition based on a low-cost Bidirectional Long Short Term Memory (BiLSTM) attention model. The mel-spectrogram of the speech signals has been generated to feed into the proposed neural attention model to classify isolated words. It consists of three convolution layers followed by two layers of BiLSTM that encode a vector of length 64 to get attention against the input sequence. The convolution layers characterize the relationship among the energy bins in the spectrogram. The BiLSTM network removes the prolonged reliance on the input sequence, and the attention block finds the most significant region in the input sequence, reducing the computational cost in the classification process. The encoded vector by the attention head is fed to three-layered fully connected networks for recognition. The model takes only 133K parameters, less than several current state-of-the-art models for isolated word recognition. Two datasets, the Speech Command Dataset (SCD), and a self-made dataset we developed for fifteen spoken colors in the Bengali dialect, are utilized in this study. Applying the proposed technique, the performance evaluation with validation and test accuracy in the Bengali color dataset reaches 98.82% and 98.95%, respectively, which outperforms the current state-of-the-art models regarding accuracy and model size. When the SCD has been trained using the same network model, the average test accuracy obtained is 96.95%. To underpin the proposed model, the outcome is compared with the recent state-of-the-art models, and the result shows the superiority of the proposed model.</t>
  </si>
  <si>
    <t>[Paul, Bachchu] Vidyasagar Univ, Dept Comp Sci, Midnapore 721102, West Bengal, India; [Phadikar, Santanu] Maulana Abul Kalam Azad Univ Technol, Dept Comp Sci &amp; Engn, BF-142,Sect 1, Kolkata 700064, West Bengal, India</t>
  </si>
  <si>
    <t>Paul, B (corresponding author), Vidyasagar Univ, Dept Comp Sci, Midnapore 721102, West Bengal, India.</t>
  </si>
  <si>
    <t>SPRINGER BIRKHAUSER</t>
  </si>
  <si>
    <t>233 SPRING STREET, 6TH FLOOR, NEW YORK, NY 10013 USA</t>
  </si>
  <si>
    <t>0278-081X</t>
  </si>
  <si>
    <t>1531-5878</t>
  </si>
  <si>
    <t>10.1007/s00034-023-02570-5</t>
  </si>
  <si>
    <t>Engineering, Electrical &amp; Electronic</t>
  </si>
  <si>
    <t>Ghosh, Shyamali; Roy, Sankar Kumar; Fuegenschuh, Armin</t>
  </si>
  <si>
    <t>The Multi-objective Solid Transportation Problem with Preservation Technology Using Pythagorean Fuzzy Sets</t>
  </si>
  <si>
    <t>INTERNATIONAL JOURNAL OF FUZZY SYSTEMS</t>
  </si>
  <si>
    <t>[Ghosh, Shyamali; Roy, Sankar Kumar] Vidyasagar Univ, Dept Appl Math Oceanol &amp; Comp Programming, Midnapore 721102, W Bengal, India; [Fuegenschuh, Armin] Brandenburg Tech Univ Cottbus Senftenberg, Engn Math &amp; Numer Optimizat, Pl Deutsch Einheit 1, D-03046 Cottbus, Germany</t>
  </si>
  <si>
    <t>Vidyasagar University; Brandenburg University of Technology Cottbus</t>
  </si>
  <si>
    <t>1562-2479</t>
  </si>
  <si>
    <t>2199-3211</t>
  </si>
  <si>
    <t>10.1007/s40815-021-01224-5</t>
  </si>
  <si>
    <t>Automation &amp; Control Systems; Computer Science, Artificial Intelligence; Computer Science, Information Systems</t>
  </si>
  <si>
    <t>Automation &amp; Control Systems; Computer Science</t>
  </si>
  <si>
    <t>Kundu, M; Ghosh, A; Abu Zafor, M; Maiti, R</t>
  </si>
  <si>
    <t>Kundu, Moumita; Ghosh, Arnab; Abu Zafor, Md; Maiti, Ramkrishna</t>
  </si>
  <si>
    <t>Evaluating the integrated performance and effectiveness of RUSLE through machine learning algorithm on soil erosion susceptibility in tropical plateau basin, India</t>
  </si>
  <si>
    <t>JOURNAL OF SEDIMENTARY ENVIRONMENTS</t>
  </si>
  <si>
    <t>Soil erosion; RUSLE; Machine learning algorithm; Ensemble model; GEE (google earth engine); SHAP (shapley additive explanation)</t>
  </si>
  <si>
    <t>SUPPORT VECTOR MACHINE; REMOTE-SENSING DATA; LANDSLIDE SUSCEPTIBILITY; GULLY EROSION; LOGISTIC-REGRESSION; FREQUENCY RATIO; RIVER-BASIN; SPATIAL PREDICTION; NEURAL-NETWORKS; SEDIMENT YIELD</t>
  </si>
  <si>
    <t>Soil erosion is a huge problem in any plateau region as the population increases with rapid urbanization, which, in turn, increases the amount of sedimentation in the river through the increasing amount of soil erosion in the plateau region. If different methods identify these soil erosion zones, it is possible to take various measures to prevent soil erosion. This article discusses the nature, extent, and rate of soil erosion and its spatial pattern along the Rupnarayan basin with the help of RUSLE (Revised Universal Soil Loss Equation) and a machine learning algorithm. This area is highly affected by monsoonal rainfall and changes in land use patterns over time. By discussing the performance of RUSLE through machine learning models i.e. Frequency Ratio (FR), Artificial neural network (ANN), support vector machine (SVM), Extreme Gradient Boosting (XGB) and ensemble model using some permutation combination of aforesaid model with various GIS (Geographical Information System) and spatial basis parameters, it is seen that the undulating upper portion of the region is the highest soil erosion susceptible zone. Except for any other GIS platform, these models are developed through Google Earth Engine and interpreted by SHapley Additive Explanation (SHAP), based on game theory. This study developed a new interpretable model in the field of soil erosion that is helpful for global and local representation. Erosional locations obtained from field studies are focused on achieving this goal. This study used 389 soil erosion points as a dependent factor against 14 soil-affecting independent factors. The best-performing model is determined from the AUC (Area Under the Curve) curve and kappa indices and interpreted globally and locally by the SHAP method to evaluate the effectiveness of each factor in soil erosion for the entire study area and the specific region. The result shows that the AUC values of FR, SVM, ANN, XGB and ensemble XGB-FR-SVM are 0.842, 0.831, and 0.828. 0.920 and 0.943, respectively, depict that the ensemble model provides better results than any single model.</t>
  </si>
  <si>
    <t>[Kundu, Moumita; Maiti, Ramkrishna] Vidyasagar Univ, Dept Geog, Midnapore, West Bengal, India; [Ghosh, Arnab] Integrated Inst Adv Res &amp; Informat IIARI, Res Incubat Ctr, Kolkata, West Bengal, India; [Abu Zafor, Md] Bangladesh Army Int Univ Sci &amp; Technol, Dept Civil Engn, Cumilla, Bangladesh</t>
  </si>
  <si>
    <t>Kundu, M (corresponding author), Vidyasagar Univ, Dept Geog, Midnapore, West Bengal, India.</t>
  </si>
  <si>
    <t>2662-5571</t>
  </si>
  <si>
    <t>2447-9462</t>
  </si>
  <si>
    <t>10.1007/s43217-024-00181-x</t>
  </si>
  <si>
    <t>Ghosh, S; Chattoraj, A; Chakraborty, SK</t>
  </si>
  <si>
    <t>Ghosh, Srinjana; Chattoraj, Asamanja; Chakraborty, Susanta Kumar</t>
  </si>
  <si>
    <t>The effect of ALAN on the ecobiological attributes of fireflies (Coleoptera: Lampyridae: Luciolinae): A study from a tropical habitat in India</t>
  </si>
  <si>
    <t>INTERNATIONAL JOURNAL OF TROPICAL INSECT SCIENCE</t>
  </si>
  <si>
    <t>ALAN; India; Indicator species; Luciolinae</t>
  </si>
  <si>
    <t>LIGHT-POLLUTION; ARTIFICIAL-LIGHT; GLOW-WORMS; BIOLUMINESCENCE; EVOLUTION; IMPACTS; ECOLOGY; L.</t>
  </si>
  <si>
    <t>Artificial Light at Night (ALAN), particularly the blue lights with short wavelength (450 nm) sourced from LED contributing about 72% of the total ALAN has emerged as a thriving hazard, especially to the nocturnal biotic communities. Fireflies, possessing intrinsic property of bioluminescence are quite vulnerable to the negative impacts of ALAN which threatens the natural courses of their life cycle. The present field-based research highlights the effect of the exposure of differential ALAN intensities on the occurrence of fireflies (Coleoptera: Lampyridae: Luciolinae) for the first time from the Indian subcontinent. Declining effects on the abundance of larvae and adults of three terrestrial firefly species Abscondita chinensis, Abscondita perplexa, and Abscondita terminalis were observed at sites exposed under differential levels of ALAN intensities. Microhabitat occupancy of larvae altered significantly. Availability of larval prey snails increased. The ratio of biomass of the larvae and females represented a deteriorating trend. However, site-specific entomofaunal association did not vary significantly. Cluster analysis reflected the categorization of the study specimens under 3 different assemblages according to the lowest, medium, and highest ranges of ALAN exposure. Principal component analysis indicated that the abundance of adult insects was positively influenced by Sky Quality Meter (SQM) (PC1:0.98) and Naked- eye limiting magnitude (NELM) (PC1:0.97), whereas, the artificial brightness (AB) and total brightness (TB) (PC1: 0.92 for each) had shown negative impacts. The results suggest the scope of utilization of fireflies as a potential bioindicator for light pollution.</t>
  </si>
  <si>
    <t>[Ghosh, Srinjana] Bethune Coll, Post Grad Dept Zool, 181 Bidhan Sarani, Kolkata 700006, West Bengal, India; [Chattoraj, Asamanja] Kazi Nazrul Univ, Dept Anim Sci, Biol Rhythm Lab, Asansol 713340, West Bengal, India; [Chakraborty, Susanta Kumar] Vidyasagar Univ, Dept Zool, Midnapore 721102, West Bengal, India</t>
  </si>
  <si>
    <t>Ghosh, S (corresponding author), Bethune Coll, Post Grad Dept Zool, 181 Bidhan Sarani, Kolkata 700006, West Bengal, India.</t>
  </si>
  <si>
    <t>1742-7584</t>
  </si>
  <si>
    <t>1742-7592</t>
  </si>
  <si>
    <t>10.1007/s42690-024-01202-y</t>
  </si>
  <si>
    <t>Mallick, SK</t>
  </si>
  <si>
    <t>Mallick, Suraj Kumar</t>
  </si>
  <si>
    <t>Urban built-up area footprint (UBAF): A novel method of urban bio-capacity and ecological sensitivity assessment</t>
  </si>
  <si>
    <t>Urban built-up area footprint (UBAF); Bio-capacity (BC); Variable weights combination (VWC) method; Urban ecological sensitivity (UES); Environmental impact assessment (EIA)</t>
  </si>
  <si>
    <t>CHINA</t>
  </si>
  <si>
    <t>In the city level, urban ecological footprint (UEF) assessment is used for a variety of measures, from biological resources through people as well as human population as a whole. But, the context of this study is sightly specific, here we focus built-up land consumption coming out the general concept of UEF. This study used to figure out the urban built-up area footprint (UBAF) as well as bio-productive status in a city scale, and its impact on urban ecological sensitivity (UES). For this assessment, one of the fastest growing-up cities in Eastern Himalayan region of India, namely Siliguri Municipal Corporation (SMC) is selected as a study area. To assess the UEF and biocapacity (BC), the yield and equivalent factors have been introduced. Further, variable weights combination (VWC) method is used to assess the UES of SMC. The result shows that increasing UBAF directly impacted on biocapacity of SMC area. Most of the lands have been converted into built-up land, and highly ecological deficit is seen in the built-up land areas. Thus, the SMC is already crossed the standard limit of the UBAF limit (&gt;3 ha per capita). Consequently, entire SMC has been ecologically sensitive and facing ecological deficit condition rigidly. Therefore, a UBAF based environmental impact assessment framework has been proposed for city level that can be helpful for the further urban land use planning.</t>
  </si>
  <si>
    <t>[Mallick, Suraj Kumar] Univ Delhi, Shaheed Bhagat Singh Coll, Dept Geog, New Delhi 110017, India; [Mallick, Suraj Kumar] Vidyasagar Univ, Dept Geog, Midnapore 721102, West Bengal, India</t>
  </si>
  <si>
    <t>Mallick, SK (corresponding author), Univ Delhi, Shaheed Bhagat Singh Coll, Dept Geog, New Delhi 110017, India.;Mallick, SK (corresponding author), Vidyasagar Univ, Dept Geog, Midnapore 721102, West Bengal, India.</t>
  </si>
  <si>
    <t>10.1016/j.jclepro.2024.140846</t>
  </si>
  <si>
    <t>Krishna, SV; Sarkar, A; Banerjee, S; Panja, AS</t>
  </si>
  <si>
    <t>Krishna, Sriram Vamshi; Sarkar, Aniket; Banerjee, Suchandan; Panja, Anindya Sundar</t>
  </si>
  <si>
    <t>Promising antiviral inhibitors against lumpy skin disease: A vetinformatics approach</t>
  </si>
  <si>
    <t>OPEN VETERINARY JOURNAL</t>
  </si>
  <si>
    <t>Lumpy skin disease; ADMET; Antiviral; Molecular simulations</t>
  </si>
  <si>
    <t>Background: Lumpy skin disease (LSD) is a transboundary virus disease that mostly affects cattle. It has recently been reported all over the world, which highlights the need for efficient control methods. LSD poses serious economic dangers worldwide. Aim: The aim of this study was to screen novel antiviral compounds for the control of LSD. Methods: By using in silico approach, ADMET, docking, and molecular simulations, this work was designed to investigate 13 active compounds for antiviral effects against Lumpy skin disease virus (LSDV). Results: ADMET study of the selected 13 compounds revealed that Apigenin-4'-glucoside and Vidarabine did not show any critical hazards. The docking study identified potential antiviral compounds against LSDV, with Apigenin4'-glucoside (Delta G =-6.6 +/- 1.1) and Vidarabine (Delta G =-5.53 +/- 0.73) showing promising interactions with key viral proteins. Molecular dynamics simulations confirmed the stability and robustness of these interactions, suggesting their potential as effective antiviral agents. Conclusion: Molecular analyses verify the strong antiviral activity of apigenin-4'-glucoside against LSDV among the selected compounds. This work sheds light on the way to explore potent anti-LSDV molecule. Moreover, the outcome of the study should screen after more extensive clinical studies.</t>
  </si>
  <si>
    <t>[Krishna, Sriram Vamshi] PV Narismha Rao Telangana Vet Univ, Coll Vet Sci, Dept Vet Microbiol, Warangal, India; [Sarkar, Aniket; Banerjee, Suchandan; Panja, Anindya Sundar] Vidyasagar Univ, Oriental Inst Sci &amp; Technol, Dept Biotechnol, Mol Informat Lab, Midnapore, India; [Panja, Anindya Sundar] Burdwan Inst &amp; Management &amp; Comp Sci, Dept Biotechnol, Burdwan, India</t>
  </si>
  <si>
    <t>Panja, AS (corresponding author), Vidyasagar Univ, Oriental Inst Sci &amp; Technol, Dept Biotechnol, Mol Informat Lab, Midnapore, India.</t>
  </si>
  <si>
    <t>UNIV TRIPOLI, FAC VET MED</t>
  </si>
  <si>
    <t>TRIPOLI</t>
  </si>
  <si>
    <t>UNIV TRIPOLI, FAC VET MED, TRIPOLI, 00000, LIBYA</t>
  </si>
  <si>
    <t>2226-4485</t>
  </si>
  <si>
    <t>2218-6050</t>
  </si>
  <si>
    <t>10.5455/OVJ.2024.v14.i11.9</t>
  </si>
  <si>
    <t>Veterinary Sciences</t>
  </si>
  <si>
    <t>Bhanja, Sujoy; Mandal, Goutam; Al Mamon, Abdulla; Biswas, Sujay Kr.</t>
  </si>
  <si>
    <t>Dynamical systems analysis of an interacting scalar field model in an anisotropic universe</t>
  </si>
  <si>
    <t>JOURNAL OF COSMOLOGY AND ASTROPARTICLE PHYSICS</t>
  </si>
  <si>
    <t>[Bhanja, Sujoy; Mandal, Goutam; Biswas, Sujay Kr.] Univ North Bengal, Dept Math, Darjeeling 734013, W Bengal, India; [Al Mamon, Abdulla] Vidyasagar Univ, Dept Phys, Vivekananda Satavarshiki Mahavidyalaya, Manikpara 721513, W Bengal, India</t>
  </si>
  <si>
    <t>University of North Bengal; Vidyasagar University</t>
  </si>
  <si>
    <t>Bhanja, S (corresponding author), Univ North Bengal, Dept Math, Darjeeling 734013, W Bengal, India.</t>
  </si>
  <si>
    <t>1475-7516</t>
  </si>
  <si>
    <t>10.1088/1475-7516/2023/10/050</t>
  </si>
  <si>
    <t>Astronomy &amp; Astrophysics; Physics, Particles &amp; Fields</t>
  </si>
  <si>
    <t>Maity, Sudarshan; Sahu, Tarak Nath; Mallik, Anusri</t>
  </si>
  <si>
    <t>Factors of investment decision and mutual funds business management</t>
  </si>
  <si>
    <t>INTERNATIONAL JOURNAL OF INDIAN CULTURE AND BUSINESS MANAGEMENT</t>
  </si>
  <si>
    <t>[Maity, Sudarshan] Inst Cost Accountants India, 12 Sudder St, Kolkata 700016, West Bengal, India; [Sahu, Tarak Nath] Vidyasagar Univ, Dept Commerce, Midnapore 721102, West Bengal, India; [Mallik, Anusri] Narula Inst Technol, Dept Elect Engn, JIS Grp, Kolkata 700109, West Bengal, India</t>
  </si>
  <si>
    <t>INDERSCIENCE ENTERPRISES LTD</t>
  </si>
  <si>
    <t>GENEVA</t>
  </si>
  <si>
    <t>WORLD TRADE CENTER BLDG, 29 ROUTE DE PRE-BOIS, CASE POSTALE 856, CH-1215 GENEVA, SWITZERLAND</t>
  </si>
  <si>
    <t>1753-0806</t>
  </si>
  <si>
    <t>1753-0814</t>
  </si>
  <si>
    <t>INT J INDIAN CULT BU</t>
  </si>
  <si>
    <t>Int. J. Indian Cult. Bus. Manag.</t>
  </si>
  <si>
    <t>10.1504/IJICBM.2023.133564</t>
  </si>
  <si>
    <t>Sharma, Prayatna; Mondal, Krishnendu; Kumar, Santosh; Tamang, Sonia; Najar, Ishfaq Nabi; Das, Sayak; Thakur, Nagendra</t>
  </si>
  <si>
    <t>RNA thermometers in bacteria: Role in thermoregulation</t>
  </si>
  <si>
    <t>BIOCHIMICA ET BIOPHYSICA ACTA-GENE REGULATORY MECHANISMS</t>
  </si>
  <si>
    <t>[Sharma, Prayatna; Kumar, Santosh; Tamang, Sonia; Najar, Ishfaq Nabi; Das, Sayak; Thakur, Nagendra] Sikkim Univ, Sch Life Sci, Dept Microbiol, 6th Mile, Gangtok 737102, Sikkim, India; [Mondal, Krishnendu] Vidyasagar Univ, Dept Microbiol, Midnapore 721102, W Bengal, India</t>
  </si>
  <si>
    <t>1874-9399</t>
  </si>
  <si>
    <t>1876-4320</t>
  </si>
  <si>
    <t>10.1016/j.bbagrm.2022.194871</t>
  </si>
  <si>
    <t>Karmakar, M; Jana, D; Manna, T; Mitra, M; Guchhait, KC; Dey, S; Raul, P; Jana, S; Roy, S; Baitalik, A; Ghosh, K; Panda, AK; Ghosh, C</t>
  </si>
  <si>
    <t>Karmakar, Monalisha; Jana, Debarati; Manna, Tuhin; Mitra, Maitreyee; Guchhait, Kartik Chandra; Dey, Subhamoy; Raul, Priyanka; Jana, Sahadeb; Roy, Suchismita; Baitalik, Anirban; Ghosh, Kuntal; Panda, Amiya Kumar; Ghosh, Chandradipa</t>
  </si>
  <si>
    <t>Bioremediation by Brevibacterium sediminis: a prospective pyrene degrading agent to eliminate environmental polycyclic aromatic hydrocarbons</t>
  </si>
  <si>
    <t>Biodegradation; Brevibacterium sediminis; PAHs; Pyrene</t>
  </si>
  <si>
    <t>BIODEGRADATION HALF-LIVES; MOLECULAR DOCKING; SOIL CONTAMINATION; KINETIC-MODEL; DEGRADATION; MARINE; PAHS; ABSORPTION; MECHANISM; SEDIMENTS</t>
  </si>
  <si>
    <t>Environmental abuses and subsequent array of health hazards by petroleum products have emerged as a global concern that warrants proper remediation. Pyrene (PYR), a polycyclic aromatic hydrocarbon, is a xenobiotic by-product during crude petroleum processing. Biodegradation potential of two bacterial isolates (MK4 and MK9) of Brevibacterium sediminis from oil contaminated sites was explored. MK4 and MK9 could degrade PYR up to 23 and 59% (1000 mg.L- 1), respectively. A first-order formalism with the rate constant for MK4 and MK9 were found to be 0.022 +/- 0.001 and 0.081 +/- 0.005 day- 1, respectively with the corresponding half life period of 31.4 +/- 1.4 and 8.6 +/- 0.60 days respectively. Both the isolates produce biosurfactants as established by drop collapse assay, oil spreading and emulsification activity studies. Decrease in pH, change in absorbance (bacterial growth), and catechol formation support adaptation capability of the isolates to degrade PYR by using it as a source of carbon. PYR ring cleavage was induced by the ring hydroxylating dioxogenase enzyme present in the strains, as identified by PCR assay. In silico analyses of the PYR degrading enzyme revealed its higher binding affinity (-7.6 kcal.mol- 1) and stability (Eigen value:1.655763 x 10- 04) to PYR, as further supported by other thoeroretical studies. MK9 strain was more efficient than the MK4 strain in PYR degradation. Studies gain its prominence as it reports for the first time on the aptitude of B. sediminis as novel PYR-degrading agent that can efficiently be used in the bioremediation of petroleum product pollution with a greener approach.</t>
  </si>
  <si>
    <t>[Karmakar, Monalisha; Jana, Debarati; Manna, Tuhin; Guchhait, Kartik Chandra; Dey, Subhamoy; Raul, Priyanka; Ghosh, Chandradipa] Vidyasagar Univ, Dept Human Physiol, Midnapore 721102, West Bengal, India; [Mitra, Maitreyee; Panda, Amiya Kumar] Vidyasagar Univ, Dept Chem, Midnapore 721102, West Bengal, India; [Dey, Subhamoy; Raul, Priyanka] Vidyasagar Univ, Ctr Life Sci, Midnapore 721102, West Bengal, India; [Jana, Sahadeb; Roy, Suchismita] Midnapore City Coll, Dept Paramed &amp; Allied Hlth Sci, Nutr Res Lab, Midnapore 721129, West Bengal, India; [Baitalik, Anirban] Midnapore City Coll, Dept Pure &amp; Appl Sci, Midnapore 721129, West Bengal, India; [Ghosh, Kuntal] Midnapore City Coll, Dept Biol Sci, Midnapore 721129, West Bengal, India</t>
  </si>
  <si>
    <t>10.1007/s11274-024-04178-6</t>
  </si>
  <si>
    <t>Ghosh, S; Mandal, M; Das, D; Gayen, SK</t>
  </si>
  <si>
    <t>Ghosh, Saumyajit; Mandal, Mrinmay; Das, Dipankar; Gayen, Shasanka Kumar</t>
  </si>
  <si>
    <t>Modeling on the assessment of habitat suitability and conflicting nature nexus of human-elephant-environment at the Alipurduar district in India</t>
  </si>
  <si>
    <t>Asian elephant; Analytical hierarchy process; Landscape criterion; Potential Habitat; Elephant conservation</t>
  </si>
  <si>
    <t>Asian elephants (Elephas maximus) are a flagship species in the regional ecosystem and their existence is increasingly threatened by habitat modification. Such circumstance caused Human-Elephant Conflict (HEC) notably in the Alipurduar district of India. This study aims to identify suitable elephant habitats essential for planning effective elephant conservation. The study employed the Analytical Hierarchy Process (AHP) technique and used the resistance surface habitat suitability model in ArcGIS 10.8v software to identify suitable habitats of elephants in the Alipurduar district of India. The findings show 24.01 km(2) as very high, 110.92 km(2) as high, and 776.04 km(2) as moderately suitable habitats for elephants out of a total district area of 3383 km(2). In related with it, the study reveals that moderate and low suitability zones have the highest human and elephant deaths due to HEC. The suitable habitats of elephants are predominantly identified in the northern and central part of the district, overlapping with the elephant's corridors, protected areas (PAs) of Buxa Tiger Reserve and Jaldapara National Park. However, the surrounding area of these PAs, with increasing settlements and high anthropogenic pressure, was identified as very low suitable for elephants. The correlation matrix uses for the grid-wise values of each selected parameters with habitat suitability magnitude to show the relation between them. The study further identified that forest cover, forest core, grassland, and water bodies were positively associated with suitable habitats for elephants, whereas variables such as settlements and agricultural lands were negatively associated. We recommend the management focus on the connectivity between these PAs that may be helpful for elephant conservation.</t>
  </si>
  <si>
    <t>[Ghosh, Saumyajit] Cooch Behar Coll, Dept Geog, Cooch Behar, W Bengal, India; [Mandal, Mrinmay] Vidyasagar Univ, Dept Geog, Medinipur, W Bengal, India; [Das, Dipankar; Gayen, Shasanka Kumar] Cooch Behar Panchanan Barma Univ, Dept Geog, Cooch Behar, W Bengal, India</t>
  </si>
  <si>
    <t>Ghosh, S (corresponding author), Cooch Behar Coll, Dept Geog, Cooch Behar, W Bengal, India.</t>
  </si>
  <si>
    <t>10.1007/s40808-024-02156-3</t>
  </si>
  <si>
    <t>A hybrid feature-extracted deep CNN with reduced parameters substitutes an End-to-End CNN for the recognition of spoken Bengali digits</t>
  </si>
  <si>
    <t>[Paul, Bachchu] Vidyasagar Univ, Dept Comp Sci, Midnapore 721102, West Bengal, India; [Phadikar, Santanu] Maulana Abul Kalam Azad Univ Technol, Dept Comp Sci &amp; Engn, BF 142,Sector 1, Kolkata 700064, West Bengal, India</t>
  </si>
  <si>
    <t>10.1007/s11042-023-15598-1</t>
  </si>
  <si>
    <t>Lu, Tzu Chuen; Vo, Thanh Nhan; Jana, Biswapati</t>
  </si>
  <si>
    <t>Dual-image reversible data hiding based on encoding the numeral system of concealed information</t>
  </si>
  <si>
    <t>2023 15TH INTERNATIONAL CONFERENCE ON ADVANCED COMPUTATIONAL INTELLIGENCE, ICACI</t>
  </si>
  <si>
    <t>[Lu, Tzu Chuen; Vo, Thanh Nhan] Chaoyang Univ Technol, Dept Informat Management, Taichung 41349, Taiwan; [Jana, Biswapati] Vidyasagar Univ, Dept Comp Sci, Midnapore 721102, India</t>
  </si>
  <si>
    <t>Lu, TC (corresponding author), Chaoyang Univ Technol, Dept Informat Management, Taichung 41349, Taiwan.</t>
  </si>
  <si>
    <t>10.1109/ICACI58115.2023.10146168</t>
  </si>
  <si>
    <t>Panchadhyayee, Pradipta; Dutta, Bibhas Kumar</t>
  </si>
  <si>
    <t>Spatially structured multi-wave-mixing induced nonlinear absorption and gain in a semiconductor quantum well</t>
  </si>
  <si>
    <t>[Panchadhyayee, Pradipta] Vidyasagar Univ, Prabhat Kumar Coll, Dept Phys UG &amp; PG, Contai 721404, India; [Dutta, Bibhas Kumar] WB State Univ, Sree Chaitanya Coll, Dept Phys, North 24 Parganas, Habra 743268, West Bengal, India</t>
  </si>
  <si>
    <t>Vidyasagar University; West Bengal State University</t>
  </si>
  <si>
    <t>Panchadhyayee, P (corresponding author), Vidyasagar Univ, Prabhat Kumar Coll, Dept Phys UG &amp; PG, Contai 721404, India.</t>
  </si>
  <si>
    <t>10.1038/s41598-022-26140-y</t>
  </si>
  <si>
    <t>Pyne, Smritikana; Paria, Kishalay</t>
  </si>
  <si>
    <t>Optimization of extraction process parameters of caffeic acid from microalgae by supercritical carbon dioxide green technology</t>
  </si>
  <si>
    <t>BMC CHEMISTRY</t>
  </si>
  <si>
    <t>[Pyne, Smritikana] Jadavpur Univ, Dept Food Technol &amp; Biochem Engn, Kolkata 700032, W Bengal, India; [Paria, Kishalay] Vidyasagar Univ, Oriental Inst Sci &amp; Technol, Midnapore 721102, W Bengal, India</t>
  </si>
  <si>
    <t>Pyne, S (corresponding author), Jadavpur Univ, Dept Food Technol &amp; Biochem Engn, Kolkata 700032, W Bengal, India.;Paria, K (corresponding author), Vidyasagar Univ, Oriental Inst Sci &amp; Technol, Midnapore 721102, W Bengal, India.</t>
  </si>
  <si>
    <t>2661-801X</t>
  </si>
  <si>
    <t>10.1186/s13065-022-00824-y</t>
  </si>
  <si>
    <t>Ghosh, S; Kar, S; Pal, T; Ghosh, S</t>
  </si>
  <si>
    <t>Ghosh, Susanta; Kar, Sayani; Pal, Tanusri; Ghosh, Surajit</t>
  </si>
  <si>
    <t>MoS2-CdS composite photocatalyst for enhanced degradation of norfloxacin antibiotic with improved apparent quantum yield and energy consumption</t>
  </si>
  <si>
    <t>JOURNAL OF PHYSICS AND CHEMISTRY OF SOLIDS</t>
  </si>
  <si>
    <t>MoS2-CdS composite; Photocatalysis; Norfloxacin degradation; Synergy effect; Apparent quantum yield; Energy consumption</t>
  </si>
  <si>
    <t>HYDROGEN-PRODUCTION; CDS; HETEROJUNCTION; PERFORMANCE; FABRICATION; MECHANISM; OXIDATION; AREA</t>
  </si>
  <si>
    <t>This study introduces an advanced visible light-activated photocatalyst for the efficient degradation of norfloxacin in aqueous environments. CdS nanorods were synthesized on MoS2 through a solution-processable solvothermal method. The resulting MoS2-CdS composite exhibited exceptional photocatalytic oxidative degradation of norfloxacin antibiotic in aquatic media. The optimal degradation efficiency (87.5 %) and degradation rate constant (0.09 min-1) were achieved with the 10 wt% MoS2-CdS composite under light illumination, surpassing pure CdS nanorods by 1.5 and 2.25 times, respectively and the highest apparent quantum yield was obtained for 10 wt% MoS2-CdS composite, which is 1.5 times higher than CdS nanorod, while maintaining consistent experimental conditions. The electrical energy per order for the degradation of norfloxacin in an aqueous solution by 20 mg of CdS in 40 ml aqueous solution is 9.7 kW h m-3/order. This value reduces to 4.8 kW h m-3/order for an equal amount of 10 wt% MoS2-CdS composite. The transfer of photogenerated electrons from the CdS nanorod to MoS2 reduces the recombination probabilities of photogenerated charge carriers and consequently enhancing the photo degradation efficiency of the composite. This research may offer novel insights into the rational design and straightforward synthesis of bimetallic sulfide photocatalysts with commendable performance and cost-effectiveness for the degradation of antibiotics in aqueous environments.</t>
  </si>
  <si>
    <t>[Ghosh, Susanta; Kar, Sayani; Ghosh, Surajit] Vidyasagar Univ, Dept Phys, Optoelect Mat Lab, Midnapore 721102, India; [Pal, Tanusri] Midnapore Coll, Dept Phys, Midnapore 721101, India</t>
  </si>
  <si>
    <t>Ghosh, S (corresponding author), Vidyasagar Univ, Dept Phys, Optoelect Mat Lab, Midnapore 721102, India.;Pal, T (corresponding author), Midnapore Coll, Dept Phys, Midnapore 721101, India.</t>
  </si>
  <si>
    <t>0022-3697</t>
  </si>
  <si>
    <t>1879-2553</t>
  </si>
  <si>
    <t>10.1016/j.jpcs.2024.112144</t>
  </si>
  <si>
    <t>Chemistry, Multidisciplinary; Physics, Condensed Matter</t>
  </si>
  <si>
    <t>Ghosh, Shyamali; Roy, Sankar Kumar; Weber, Gerhard-Wilhelm</t>
  </si>
  <si>
    <t>Interactive strategy of carbon cap-and-trade policy on sustainable multi-objective solid transportation problem with twofold uncertain waste management</t>
  </si>
  <si>
    <t>ANNALS OF OPERATIONS RESEARCH</t>
  </si>
  <si>
    <t>[Ghosh, Shyamali; Roy, Sankar Kumar] Vidyasagar Univ, Dept Appl Math Oceanol &amp; Comp Programming, Midnapore 721102, West Bengal, India; [Weber, Gerhard-Wilhelm] Poznan Univ Tech, Fac Engn Management, Poznan, Poland</t>
  </si>
  <si>
    <t>Vidyasagar University; Poznan University of Technology</t>
  </si>
  <si>
    <t>0254-5330</t>
  </si>
  <si>
    <t>1572-9338</t>
  </si>
  <si>
    <t>ANN OPER RES</t>
  </si>
  <si>
    <t>Ann. Oper. Res.</t>
  </si>
  <si>
    <t>10.1007/s10479-023-05347-w</t>
  </si>
  <si>
    <t>Maity, Shrabanti; Chakraborty, Pronobesh Ranjan</t>
  </si>
  <si>
    <t>Implications of the POCSO Act and determinants of child sexual abuse in India: insights at the state level</t>
  </si>
  <si>
    <t>[Maity, Shrabanti] Vidyasagar Univ, Dept Econ, Midnapore, West Bengal, India; [Chakraborty, Pronobesh Ranjan] Assam Univ, Dept French, Silchar, Assam, India</t>
  </si>
  <si>
    <t>10.1057/s41599-022-01469-x</t>
  </si>
  <si>
    <t>Rakshit, S; Roy, T; Jana, PC; Gupta, K</t>
  </si>
  <si>
    <t>Rakshit, Soumen; Roy, Tamanna; Jana, Paresh Chandra; Gupta, Kajal</t>
  </si>
  <si>
    <t>A Comprehensive Review on the Importance of Sustainable Synthesized Coinage Metal Nanomaterials and Their Diverse Biomedical Applications</t>
  </si>
  <si>
    <t>BIOLOGICAL TRACE ELEMENT RESEARCH</t>
  </si>
  <si>
    <t>Review; Early Access</t>
  </si>
  <si>
    <t>Coinage metal nanomaterials; Sustainable synthesis; Antibacterial; Antifungal; Anticancer</t>
  </si>
  <si>
    <t>MEDIATED GREEN SYNTHESIS; SILVER NANOPARTICLES; GOLD NANOPARTICLES; LEAF EXTRACT; IN-VITRO; COPPER NANOPARTICLES; ANTIBACTERIAL ACTIVITY; AQUEOUS EXTRACT; DRUG-DELIVERY; ANTIMICROBIAL ACTIVITY</t>
  </si>
  <si>
    <t>From a historical perspective, coinage metals (CMNMs) are most renowned for their monetary, ornamental, and metallurgical merits; nevertheless, as nanotechnology's potential has only just come to light, their metal nanostructures and uses may be viewed as products of modern science. Notable characteristics of CMNMs include visual, electrical, chemical, and catalytic qualities that depend on shape and size. Due diligence on the creation and synthesis of CMNMs and their possible uses has been greatly promoted by these characteristics. This review focuses on solution-based methods and provides an overview of the latest developments in CMNMs and their bimetallic nanostructures. It discusses a range of synthetic techniques, including conventional procedures and more modern approaches used to enhance functionality by successfully manipulating the CMNMs nanostructure's size, shape, and composition. To help with the design of new nanostructures with improved capabilities in the future, this study offers a brief assessment of the difficulties and potential future directions of these intriguing metal nanostructures. This review focuses on mechanisms and factors influencing the synthesis process, green synthesis, and sustainable synthesis methods. It also discusses the wide range of biological domains in which CMNMs are applied, including antibacterial, antifungal, and anticancer. Researchers will therefore find the appropriateness of both synthesizing and using CMNMS keeping in mind the different levels of environmental effects.</t>
  </si>
  <si>
    <t>[Rakshit, Soumen; Jana, Paresh Chandra] Vidyasagar Univ, Dept Phys, Midnapore 721102, West Bengal, India; [Roy, Tamanna] Bankura Sammilani Med Coll, Dept Surg, Bankura 722102, West Bengal, India; [Gupta, Kajal] JK Coll, Dept Chem, Purulia 723101, West Bengal, India</t>
  </si>
  <si>
    <t>Gupta, K (corresponding author), JK Coll, Dept Chem, Purulia 723101, West Bengal, India.</t>
  </si>
  <si>
    <t>0163-4984</t>
  </si>
  <si>
    <t>1559-0720</t>
  </si>
  <si>
    <t>10.1007/s12011-024-04361-8</t>
  </si>
  <si>
    <t>Ali, MF; Khan, NM</t>
  </si>
  <si>
    <t>Ali, Md Firoj; Khan, Noor Mohammad</t>
  </si>
  <si>
    <t>Characterization of ( m, n )-regular ordered semihypergroups</t>
  </si>
  <si>
    <t>FILOMAT</t>
  </si>
  <si>
    <t>Ordered semihypergroups; (m, n )-hyperideal; (m, n )-quasi-hyperideal</t>
  </si>
  <si>
    <t>QUASI-HYPERIDEALS; (M</t>
  </si>
  <si>
    <t>We, first, characterize (m, n)-hyperideals of ordered semihypergroups in terms of its (m, 0)- hyperideals and (0, n)-hyperideals as well as minimality of (m, n)-hyperideals of ordered semihypergroups in terms of its minimal (m, 0)-hyperideals and minimal (0, n)-hyperideals. Further characterization of (m, n)- regular ordered semihypergroups in terms of its (m, 0)-hyperideals, (0, n)-hyperideals, (m, n)-hyperideals and (m, n)-quasi-hyperideals is studied. After introducing relations B-m(n) and Q(m)(n) on ordered semihypergroups, we prove that B-m(n) subset of Q(m)(n) and provide conditions for the equality to hold in this inclusion. Finally we show that, in any ordered semihypergroups, Q(m)(n) = H-m(n) and, in any (m, n)-hypersimple ordered semihypergroup S,B-m(n) = Q(m)(n) = H-m(n) = S x S.</t>
  </si>
  <si>
    <t>[Ali, Md Firoj] Vidyasagar Univ, Vivekananda Mission Mahavidyalaya, Dept Math, Midnapore 721645, West Bengal, India; [Khan, Noor Mohammad] Aligarh Muslim Univ, Dept Math, Aligarh 202002, India</t>
  </si>
  <si>
    <t>Vidyasagar University; Aligarh Muslim University</t>
  </si>
  <si>
    <t>Ali, MF (corresponding author), Vidyasagar Univ, Vivekananda Mission Mahavidyalaya, Dept Math, Midnapore 721645, West Bengal, India.</t>
  </si>
  <si>
    <t>UNIV NIS, FAC SCI MATH</t>
  </si>
  <si>
    <t>NIS</t>
  </si>
  <si>
    <t>PO BOX 224, VISEGRADSKA 33, NIS, 18000, SERBIA MONTENEG</t>
  </si>
  <si>
    <t>0354-5180</t>
  </si>
  <si>
    <t>10.2298/FIL2416699A</t>
  </si>
  <si>
    <t>Das, P; Jana, A; Sit, G; Mandal, B; Chanda, A</t>
  </si>
  <si>
    <t>Das, Purnachandra; Jana, Arun; Sit, Godhuli; Mandal, Basudev; Chanda, Angsuman</t>
  </si>
  <si>
    <t>Length-weight relationships and condition factors of Mystus vittatus (Hamilton, 1822) in natural and culture habitat</t>
  </si>
  <si>
    <t>SU URUNLERI DERGISI</t>
  </si>
  <si>
    <t>Length-weight relationship; condition factors; Mystus vittatus; natural growth; biofloc growth</t>
  </si>
  <si>
    <t>RIVER TRIBUTARY; FISHERIES; CATFISH; BLOCH</t>
  </si>
  <si>
    <t>The Asian catfish Mystus vittatus is very popular food and ornamental fish in India. Length- weight relationships and condition factors of this fish are crucial component in fishery managements. The objective of this study is to investigate the relationships between the length, weight, condition factor (K), relative condition factor (Kn) and modified condition factor of Mystus vittatus (Hamilton, 1822). The study is particularly focus on analysing the sex wise variations in growth patterns, productivity, stocks, and conservation in two different habitats, natural habitat and biofloc system. The findings show that the species did not strictly follow the predicted cube law and showed allometric growth patterns in both habitats. The b value varies from 2.72 to 3.12, the condition factor (K) ranges from 0.587-1.50, modified condition factor ranges 0.54-2.26 and relative condition factor (Kn) ranges from 0.71-1.65. Natural habitats had the highest mean values for the regression parameter (b), condition factor (K), and relative condition factor (Kn). For male, female, and combined sexes in two different habitats, the R2 values show a statistically significant relationship between weight and length. The correlation analysis indicates some positive and negative significant relationships among sex, length, weight, condition factor, and relative condition factor. Therefore, there is significant relationship between condition factor, relative condition factor length, weight in two different habitats and it varies between male and female within same habitat. Thus, this finding will help to fishery managers for long term strategy development of Mystus vittatus in both natural as well as biofloc system.</t>
  </si>
  <si>
    <t>[Das, Purnachandra] Vidyasagar Univ, Dept Fishery Sci, Midnapore 721102, West Bengal, India; [Jana, Arun; Sit, Godhuli; Chanda, Angsuman] Raja Narendra Lal Khan Womens Coll Autonomous, Dept Zool UG &amp; PG, Res Unit, Midnapore 721102, West Bengal, India; [Mandal, Basudev] Narajole Raj Coll, Dept Zool, Narajole 721211, West Bengal, India</t>
  </si>
  <si>
    <t>Chanda, A (corresponding author), Raja Narendra Lal Khan Womens Coll Autonomous, Dept Zool UG &amp; PG, Res Unit, Midnapore 721102, West Bengal, India.</t>
  </si>
  <si>
    <t>EGE UNIV, FAC FISHERIES</t>
  </si>
  <si>
    <t>BORNOVA-IZMIR</t>
  </si>
  <si>
    <t>EGE UNIV, FAC FISHERIES, BORNOVA-IZMIR, 35100, Turkiye</t>
  </si>
  <si>
    <t>1300-1590</t>
  </si>
  <si>
    <t>2148-3140</t>
  </si>
  <si>
    <t>10.12714/egejfas.41.3.02</t>
  </si>
  <si>
    <t>Fisheries; Marine &amp; Freshwater Biology</t>
  </si>
  <si>
    <t>Paul, B; Bera, S; Dey, T; Phadikar, S</t>
  </si>
  <si>
    <t>Paul, Bachchu; Bera, Somnath; Dey, Tanushree; Phadikar, Santanu</t>
  </si>
  <si>
    <t>Machine learning approach of speech emotions recognition using feature fusion technique</t>
  </si>
  <si>
    <t>Feature fusion; Speech emotion recognition (SER); Mel frequency cepstral coefficients; Linear predictive coefficients; Support vector machine; Linear discriminative analysis</t>
  </si>
  <si>
    <t>FEATURE-SELECTION; SYSTEM</t>
  </si>
  <si>
    <t>In advancement of machine learning aspect, speech based emotional states identification must have a profound impact on artificial intelligence. Proper feature selection performs a vital role on such emotion recognition. Therefore, feature fusion technology has been proposed in this study for obtaining high prediction accuracy by prioritizing the extraction of sole features. Mel Frequency Cepstral Coefficients (MFCC), Linear Predictive Coefficients (LPC), energy, Zero Crossing Rate (ZCR) and pitch are extracted and four different models are constructed for experimenting the impact of feature fusion techniques on four standard machine learning classifier namely Support Vector Machine (SVM), Linear Discriminative Analysis (LDA), Decision-Tree (D-Tree) and K Nearest Neighbour (KNN). Successful application of feature fusion techniques on our proposed classifiers give satisfactory recognition rate 96.90% on the Bengali (Indian Regional language) based dataset SUST Bangla Emotional Speech Corpus (SUBESCO), 99.82% on Toronto Emotional Speech Set (TESS) (English), 95% on Ryerson Audio-Visual Database for Emotional Speech and Song (RAVDEES) (English) and 95.33% on Berlin Database of Emotional Speech (EMO-DB) (Berlin) dataset. The presented model indicates that the proper fusion of features has a positive impact on emotion detection systems by increasing their accuracy and applicability.</t>
  </si>
  <si>
    <t>[Paul, Bachchu; Bera, Somnath; Dey, Tanushree] Vidyasagar Univ, Dept Comp Sci, Midnapore 721102, West Bengal, India; [Phadikar, Santanu] Maulana Abul Kalam Azad Univ Technol, Dept Comp Sci, Nadia 741249, West Bengal, India</t>
  </si>
  <si>
    <t>Bera, S (corresponding author), Vidyasagar Univ, Dept Comp Sci, Midnapore 721102, West Bengal, India.</t>
  </si>
  <si>
    <t>10.1007/s11042-023-16036-y</t>
  </si>
  <si>
    <t>Kar, C; Aktar, MS; Maiti, M; Das, P</t>
  </si>
  <si>
    <t>Kar, Chaitali; Aktar, Md. Samim; Maiti, Manoranjan; Das, Pritha</t>
  </si>
  <si>
    <t>Solving Fully Neutrosophic Incompatible Multi-Item Fixed Charge Four-Dimensional Transportation Problem with Volume Constraints</t>
  </si>
  <si>
    <t>NEW MATHEMATICS AND NATURAL COMPUTATION</t>
  </si>
  <si>
    <t>Fully neutrosophic 4-dimensional transportation problem; fixed-charge; incompatible items; volume constraints; score and accuracy function; weighted value function</t>
  </si>
  <si>
    <t>FUZZY GRAPHS</t>
  </si>
  <si>
    <t>Transportation problem (TP) describes the goods distribution process from production centers to retailers. The transportation-related parameters like demands, availabilities, and unit transportation costs become uncertain due to insufficient data, etc. With the carried items total weight restriction, each vehicle has a volume capacity that restricts the total articles volume. So far, volume restriction has been ignored in TP. Nowadays, with worldwide infrastructural developments, different connecting routes and conveyances are available for transportation. Therefore, conveyances capacities and fixed charges are also uncertain, and hence the decision variables are expected to be uncertain. When both parameters and decision variables are neutrosophic, TP is named fully neutrosophic. Considering these facts, fully neutrosophic multi-item four-dimensional TPs with fixed charges are formulated for cost minimization. Here, items are pairwise incompatible and vehicles volume capacities are imposed. In particular, proposed TP for compatible items is solved. (i) Score and accuracy function and (ii) weighted value function methods are used for deneutrosophication. Converted crisp problems are solved using the generalized reduced gradient method via LINGO 11.0. The methods and solutions are illustrated by a real-life experiment. Significances of several routes and vehicle types are presented. One proposed method gives better results for some existing problems.</t>
  </si>
  <si>
    <t>[Kar, Chaitali; Aktar, Md. Samim; Das, Pritha] Indian Inst Engn Sci &amp; Technol, Dept Math, Howrah, W Bengal, India; [Maiti, Manoranjan] Vidyasagar Univ, Dept Math, Midnapore, W Bengal, India</t>
  </si>
  <si>
    <t>Kar, C (corresponding author), Indian Inst Engn Sci &amp; Technol, Dept Math, Howrah, W Bengal, India.</t>
  </si>
  <si>
    <t>1793-0057</t>
  </si>
  <si>
    <t>1793-7027</t>
  </si>
  <si>
    <t>10.1142/S1793005724500054</t>
  </si>
  <si>
    <t>Samanta, Arabinda; Bera, Bubai; Karmakar, Prakash</t>
  </si>
  <si>
    <t>Studies in the seedling phenology and role of seedling in clonally propagated species Hellenia speciosa</t>
  </si>
  <si>
    <t>[Samanta, Arabinda] Jhargram Raj Coll, Dept Bot, Jhargram 721507, India; [Bera, Bubai] Kashipur MM Mahavidyalaya, Dept Bot, Purulia 723132, India; [Karmakar, Prakash] Vidyasagar Univ, Dept Bot &amp; Forestry, Midnapore 721102, India</t>
  </si>
  <si>
    <t>10.14719/pst.2293</t>
  </si>
  <si>
    <t>Patra, P; Panja, S; Mondal, SK</t>
  </si>
  <si>
    <t>Patra, Prasenjit; Panja, Subrata; Mondal, Shyamal Kumar</t>
  </si>
  <si>
    <t>Mitigating Consumer Returns through Omnichannel Retail Operations: An EOQ Model under Stochastic Demand</t>
  </si>
  <si>
    <t>JOURNAL OF SYSTEMS SCIENCE AND SYSTEMS ENGINEERING</t>
  </si>
  <si>
    <t>Omnichannel retailing; product return; buy-online-return-in-store; online and offline retailing; EOQ inventory; stochastic demand</t>
  </si>
  <si>
    <t>DUAL-CHANNEL; PRODUCT RETURNS; BUY-ONLINE; STRATEGIES; IMPACT; STORE; MANUFACTURER; DECISION; BRICKS; CLICKS</t>
  </si>
  <si>
    <t>In today's online retail landscape, product returns have become a significant issue. Now, controlling inventory while accounting these returns is essential, as it helps a retailer to manage stocking decisions effectively. Keeping this in mind, this study develops an economic order quantity inventory system for an omnichannel retailer, who operates both an online channel as well as an offline (brick-and-mortar) store. In this omnichannel setup, the retailer implements a buy-online-return-in-store strategy to manage returns. The proposed inventory systems have been analysed in deterministic and stochastic environments. The findings of this study reveal that as the retailer shifts to the omnichannel mode, the order quantity is higher than the quantity in the only-online mode. However, when the return rate increases then the order quantities are reduced in both modes. Examining the omnichannel profitability in different scenarios, it is found that when the same price option is chosen, omnichannel remains profitable with a high return rate only. Conversely, for the case of higher price in offline channel, the omnichannel outperforms the only online mode on every possible return outcome. This study provides important insights into the allocation of market share between online and offline channels. A high offline market share with a high return rate always results in higher profit in an omnichannel mode. Additionally, it is observed that under high online demand, the offline store can effectively function as a return center.</t>
  </si>
  <si>
    <t>[Patra, Prasenjit; Mondal, Shyamal Kumar] Vidyasagar Univ, Dept Appl Math, Midnapore 721102, W Bengal, India; [Panja, Subrata] Haldia Inst Technol, Dept Appl Sci, Haldia 721657, W Bengal, India</t>
  </si>
  <si>
    <t>Vidyasagar University; Haldia Institute of Technology</t>
  </si>
  <si>
    <t>Mondal, SK (corresponding author), Vidyasagar Univ, Dept Appl Math, Midnapore 721102, W Bengal, India.</t>
  </si>
  <si>
    <t>1004-3756</t>
  </si>
  <si>
    <t>1861-9576</t>
  </si>
  <si>
    <t>10.1007/s11518-024-5617-9</t>
  </si>
  <si>
    <t>Rough bed hydrodynamics under wave-current interactional flow field: double averaging approach</t>
  </si>
  <si>
    <t>JOURNAL OF TURBULENCE</t>
  </si>
  <si>
    <t>Double-average; Anisotropy; Intensity; Turbulence indicator; Roughness layer</t>
  </si>
  <si>
    <t>OPEN-CHANNEL FLOW; TURBULENT-FLOW; VELOCITY DISTRIBUTIONS; OVERLAND FLOWS; STATISTICS; SURFACE; INTENSITY; ISOTROPY; STREAMS; SMOOTH</t>
  </si>
  <si>
    <t>The effect of surface wave on the double-averaged (DA) current-only flow properties is examined over two different types of rough beds comprising hemispherical elements with regular and staggered arrangements. For each case, the relative roughness spacing of p/r = 4 is maintained, where p = pitch distance and r = hemisphere height. The changes in turbulence characteristics against the water depth are analysed for superimposed surface waves propagating along the current with 1 and 2 Hz frequencies. The effect of regular and staggered roughness arrangements on different turbulence characteristics is explored. Results demonstrate that the DA stream-wise velocity decreases and increases at the outer region and within the roughness region, respectively, due to wave propagation. Owing to the surface wave, the DA intensity and form-induced intensity increase above the roughness layer and decrease within the bottom boundary layer. The values of form-induced intensities are smaller (greater) than the DA turbulence intensities at each considered flow depth within the roughness (outer) layer. For the entire flow depth, the values of DA Reynolds stress decrease due to wave interactions along a steady current. Again, the turbulence is observed to be close to isotropic for the current-only flow at the outer zone, while the flow transits to an anisotropic state with wave imposition on current. Further, the computed values of the turbulence indicator and dispersion functions are used for the identification of the level of turbulence and dispersion at each flow depth for the locations upstream and downstream of a hemisphere in the hemispherical bed.</t>
  </si>
  <si>
    <t>1468-5248</t>
  </si>
  <si>
    <t>AUG 2</t>
  </si>
  <si>
    <t>10.1080/14685248.2024.2371824</t>
  </si>
  <si>
    <t>Mechanics; Physics, Fluids &amp; Plasmas</t>
  </si>
  <si>
    <t>Mechanics; Physics</t>
  </si>
  <si>
    <t>Partition functions for U(1) vectors and phases of scalar QED in AdS</t>
  </si>
  <si>
    <t>Effective Field Theories; Spontaneous Symmetry Breaking; Thermal Field Theory</t>
  </si>
  <si>
    <t>SPONTANEOUS SYMMETRY-BREAKING; EFFECTIVE POTENTIALS; ANTI; LOOP; PROPAGATORS; TRANSITIONS</t>
  </si>
  <si>
    <t>We extend the computation of one-loop partition function in AdS d+1 using the method in [23] and [24] for scalars and fermions to the case of U(1) vectors. This method utilizes the eigenfunctions of the AdS Laplacian for vectors. For finite temperature, the partition function is obtained by generalizing the eigenfunctions so that they are invariant under the quotient group action, which defines the thermal AdS spaces. The results obtained match with those available in the literature. As an application of these results, we then analyze phases of scalar QED theories at one-loop in d = 2, 3. We do this first as functions of AdS radius at zero temperature showing that the results reduce to those in flat space in the large AdS radius limit. Thereafter the phases are studied as a function of the scalar mass and temperature. We also derive effective potentials and study phases of the scalar QED theories with N scalars.</t>
  </si>
  <si>
    <t>Sarkar, S (corresponding author), Vidyasagar Univ, Dept Phys, Midnapore 721102, India.</t>
  </si>
  <si>
    <t>JUN 14</t>
  </si>
  <si>
    <t>10.1007/JHEP06(2024)095</t>
  </si>
  <si>
    <t>Mandal, U; Samanta, SS; Mandal, S; Barman, S; Beg, H; Misra, A</t>
  </si>
  <si>
    <t>Mandal, Usha; Samanta, Shashanka Shekhar; Mandal, Sourav; Barman, Suraj; Beg, Hasibul; Misra, Ajay</t>
  </si>
  <si>
    <t>Decoding the commutable first hyperpolarisability of keto-enol tautomer using DFT and AI-based soft computing method</t>
  </si>
  <si>
    <t>MOLECULAR SIMULATION</t>
  </si>
  <si>
    <t>DFT CAM-B3LYP; hyper-Raleigh scattering (HRS); fuzzy logic (FL); artificial neural networks (ANNs); adaptive neuro-fuzzy inference system (ANFIS)</t>
  </si>
  <si>
    <t>NONLINEAR-OPTICAL PROPERTIES; FUZZY-LOGIC; SUBSTITUTED HEXAMOLYBDATES; 2ND-HARMONIC GENERATION; MOLECULAR SWITCHES; DESIGN; RESPONSES; POLARIZATION; EQUILIBRIUM; PREDICTION</t>
  </si>
  <si>
    <t>Non-linear optical (NLO) parameter of a series of donor-acceptor substituted N-salicylidene-4-benzenesulfonylaniline (SBSA) derivatives with a contrast of first hyperpolarisability has been investigated using density functional-based theory. The derivative of SBSA with both the donor and acceptor substitution (NMe2-SBSA-NO2) exhibits the highest first hyperpolarisability ($\sim 3 \times$similar to 3x103 a.u in gas phase) value. Frequency and solvent polarity responsive behaviours of first hyperpolarisability are utilised to demonstrate the variation of NLO as switchable electrical parameter. Each of the studied compounds displays very high NLO response at frequency corresponding to the absorption maxima of their electronic state. Likewise, the increase of solvent polarity induces a substantial increase of first hyperpolarisability. The computation of NLO responsive first hyperpolarisability by varying the frequency and solvent dielectric constant within a wide domain is very tedious and time-consuming. To overcome the lacuna, we implemented machine learning tools such as artificial neural networks (ANNs), fuzzy logic (FL) and adaptive neuro-fuzzy inference system (ANFIS) to predict the computation data of the NMe2-SBSA-NO2 and moderately good results were obtained using ANFIS as soft computing tool.</t>
  </si>
  <si>
    <t>[Mandal, Usha; Samanta, Shashanka Shekhar; Mandal, Sourav; Barman, Suraj; Misra, Ajay] Vidyasagar Univ, Dept Chem, Midnapore, India; [Beg, Hasibul] Raja NL Khan Womens Coll, Dept Chem, Midnapore, India</t>
  </si>
  <si>
    <t>Misra, A (corresponding author), Vidyasagar Univ, Dept Chem, Midnapore, India.</t>
  </si>
  <si>
    <t>0892-7022</t>
  </si>
  <si>
    <t>1029-0435</t>
  </si>
  <si>
    <t>10.1080/08927022.2024.2355285</t>
  </si>
  <si>
    <t>Mortoja, Sk Golam; Panja, Prabir; Mondal, Shyamal Kumar</t>
  </si>
  <si>
    <t>Stability Analysis of Plankton-Fish Dynamics with Cannibalism Effect and Proportionate Harvesting on Fish</t>
  </si>
  <si>
    <t>[Mortoja, Sk Golam; Mondal, Shyamal Kumar] Vidyasagar Univ, Dept Appl Math Oceanol &amp; Comp Programming, Midnapore 721102, India; [Panja, Prabir] Haldia Inst Technol, Dept Appl Sci, Haldia 721657, India</t>
  </si>
  <si>
    <t>Mondal, SK (corresponding author), Vidyasagar Univ, Dept Appl Math Oceanol &amp; Comp Programming, Midnapore 721102, India.</t>
  </si>
  <si>
    <t>10.3390/math11133011</t>
  </si>
  <si>
    <t>Uche, E; Das, N; Nwaeze, NC; Bera, P</t>
  </si>
  <si>
    <t>Uche, Emmanuel; Das, Narasingha; Nwaeze, Nnamdi Chinwendu; Bera, Pinki</t>
  </si>
  <si>
    <t>Navigating the paths to sustainable environments via energy security, renewable energy and economic complexity: Evidence from array of pollution metrics</t>
  </si>
  <si>
    <t>ENERGY &amp; ENVIRONMENT</t>
  </si>
  <si>
    <t>Environmental quality; energy security; renewable energy; economic complexity; environmental technology; E7 countries</t>
  </si>
  <si>
    <t>CARBON-DIOXIDE EMISSIONS; ECO-INNOVATION; TESTS</t>
  </si>
  <si>
    <t>Empirical narratives pertaining to the implications of energy security (ENS) on environmental quality (EQ), particularly in the context of Emerging Seven (E7) countries, are currently understudied. Likewise, the influence of renewable energy (RWN), economic complexity (ECI) and environmental control technology (EVT) on EQ is still unsettled. Thus, based on arrays of pollution metrics (ecological footprint (ECF), carbon emission damage (CO2D) and consumption-based carbon emissions (CCO2) and annual panel series spanning 1990-2018, this study provides fresh insights into the implications of the listed variables on EQs in E7 countries. Accordingly, the following empirical narratives were established: (i) The effects of the enlisted panel series on EQ are sensitive to the peculiarities of each pollution metric. (ii) Estimates of the pool mean group autoregressive distributed lag (PMG-ARDL) model and those of cross-sectional augmented autoregressive distributed lag (CS-ARDL) underscore the important roles of ENS and RWN on EQ, particularly on ECF; and ECI on CO2D. While EVT provides insignificant carbon emission reducing effects across all variants of EQ indicators, population and economic growth are all time-significant pollution enablers. (iii) The outcomes of the panel quantile regression demonstrate that ENS enhances EQ only at the 25th and 50th quantiles and accelerates pollution at the 75th and 95th quantiles. RWN enhances EQ across all quantiles while ECI deaccelerates ECF and CO2D and accelerates CCO2 across all quantiles. Furthermore, EVT accelerates ECF and CO2D while it deaccelerates CCO2 across all quantiles. Meanwhile, the unpleasant effects of growth and population are reemphasized. Policy strategies to ensure a sustainable environment in E7 have been highlighted.</t>
  </si>
  <si>
    <t>[Uche, Emmanuel; Nwaeze, Nnamdi Chinwendu] Abia State Univ, Fac Econ &amp; Management Sci, Dept Econ, Uturu, Abia, Nigeria; [Das, Narasingha] Australia Chapter, Econ Peace &amp; Secur, Sydney, Australia; [Bera, Pinki] Vidyasagar Univ, Dept Econ, Midnapore, West Bengal, India</t>
  </si>
  <si>
    <t>Uche, E (corresponding author), Abia State Univ, Fac Econ &amp; Management Sci, Dept Econ, Uturu, Abia, Nigeria.</t>
  </si>
  <si>
    <t>0958-305X</t>
  </si>
  <si>
    <t>2048-4070</t>
  </si>
  <si>
    <t>10.1177/0958305X221140571</t>
  </si>
  <si>
    <t>Environmental Studies</t>
  </si>
  <si>
    <t>Bhunia, Amit Kumar; Kamilya, Tapanendu; Saha, Satyajit</t>
  </si>
  <si>
    <t>Study of the Adsorption of Human Hemoglobin to Silver (Ag) Nanoparticle Surface for the Detection of the Unfolding of Hemoglobin</t>
  </si>
  <si>
    <t>PLASMONICS</t>
  </si>
  <si>
    <t>[Bhunia, Amit Kumar] Govt Gen Degree Coll Gopiballabpur II, Dept Phys, Jhargram 721517, India; [Kamilya, Tapanendu] Narajole Raj Coll, Dept Phys, Paschim Medinipur 721211, India; [Saha, Satyajit] Vidyasagar Univ, Dept Phys, Paschim Medinipur 721102, India</t>
  </si>
  <si>
    <t>Bhunia, AK (corresponding author), Govt Gen Degree Coll Gopiballabpur II, Dept Phys, Jhargram 721517, India.</t>
  </si>
  <si>
    <t>1557-1955</t>
  </si>
  <si>
    <t>1557-1963</t>
  </si>
  <si>
    <t>10.1007/s11468-022-01603-0</t>
  </si>
  <si>
    <t>Chemistry, Physical; Nanoscience &amp; Nanotechnology; Materials Science, Multidisciplinary</t>
  </si>
  <si>
    <t>Karmakar, Asim K.; Jana, Sebak K.; Mukherjee, Sovik</t>
  </si>
  <si>
    <t>Understanding Gender, Poverty, and Social Justice: A New Look From the Perspectives of Indian Experience</t>
  </si>
  <si>
    <t>[Karmakar, Asim K.] Netaji Subhash Open Univ, Tarkeshwar, W Bengal, India; [Jana, Sebak K.] Vidyasagar Univ, Midnapore, W Bengal, India; [Mukherjee, Sovik] St Xaviers Univ, New Town, W Bengal, India</t>
  </si>
  <si>
    <t>Karmakar, AK (corresponding author), Netaji Subhash Open Univ, Tarkeshwar, W Bengal, India.</t>
  </si>
  <si>
    <t>10.1108/978-1-83753-180-620231019</t>
  </si>
  <si>
    <t>Record of zipper loach Paracanthocobitis botia (Hamilton 1822), an ornamental fish from Paschim Medinipur, West Bengal, India</t>
  </si>
  <si>
    <t>[Sit, Godhuli; Jana, Arun; Chanda, Angsuman] Vidyasagar Univ, Raja N L Khan Womens Coll Autonomous, Nat &amp; Appl Sci Res Ctr, Paschim Medinipur 721102, W Bengal, India; [Chanda, Angsuman; Sahu, Sanjat Kumar] Sambalpur Univ, Dept Environm Sci, Sambalpur 768019, Odisha, India</t>
  </si>
  <si>
    <t>Chanda, A (corresponding author), Vidyasagar Univ, Raja N L Khan Womens Coll Autonomous, Nat &amp; Appl Sci Res Ctr, Paschim Medinipur 721102, W Bengal, India.</t>
  </si>
  <si>
    <t>10.17017/j.fish.355</t>
  </si>
  <si>
    <t>Jana, A; Roy, SK; Biswas, MHA</t>
  </si>
  <si>
    <t>Jana, Abhijit; Roy, Sankar Kumar; Biswas, Md Haider Ali</t>
  </si>
  <si>
    <t>Transmission dynamics of dengue disease, awareness and control strategies</t>
  </si>
  <si>
    <t>SIR model; basic reproduction number; sensitivity analysis; optimal control</t>
  </si>
  <si>
    <t>BASIC REPRODUCTION NUMBER; AEDES-AEGYPTI; BACKWARD BIFURCATION; EPIDEMIC MODEL; MOSQUITO; MALARIA; VIRUS; POPULATION; STABILITY; FEVER</t>
  </si>
  <si>
    <t>In today's world one of the biggest matters of concern related to human health is dengue. Since its vaccine has not got the marketability yet, we have only a few accessible curatives for now. To tackle this, two things are important: controlling the Aedes mosquitoes that spread it and making people more aware how to protect themselves from mosquito bites. Here an SIR dengue transmission model with six compartments is introduced to understand how the virus moves between humans and mosquitoes. Three types of controls (aquatic, insecticide and awareness control) to mitigate mosquito populations and safeguard humans from the severity of dengue disease are addressed in the proposed model. Using next generation matrix approach, the basic reproduction number to the constructed model is calculated, and the presence of backward bifurcation is analysed. We explore optimal control strategies to manage medical costs and combat mosquito populations effectively. Numerical simulations are added to limn the approached thoughts and to support the considered assumptions. In a short period, awareness control and insecticide control effectively reduce the number of infected cases in both mosquito and human populations. However, achieving a permanent solution requires the successful collaboration of all three controls.</t>
  </si>
  <si>
    <t>[Jana, Abhijit; Roy, Sankar Kumar] Vidyasagar Univ, Dept Appl Math Oceanol &amp; Comp Programming, Midnapore 721102, W Bengal, India; [Biswas, Md Haider Ali] Khulna Univ, Sci Engn &amp; Technol Sch, Math Discipline, Khulna, Bangladesh</t>
  </si>
  <si>
    <t>Vidyasagar University; Khulna University</t>
  </si>
  <si>
    <t>10.1080/02286203.2024.2334979</t>
  </si>
  <si>
    <t>Al Mamon, Abdulla; Mishra, Ambuj Kumar; Sharma, Umesh Kumar</t>
  </si>
  <si>
    <t>Barrow Holographic dark energy in fractal cosmology</t>
  </si>
  <si>
    <t>INTERNATIONAL JOURNAL OF GEOMETRIC METHODS IN MODERN PHYSICS</t>
  </si>
  <si>
    <t>[Al Mamon, Abdulla] Vidyasagar Univ, Dept Phys, Vivekananda Satavarshiki Mahavidyalaya, Manikpara 721513, W Bengal, India; [Mishra, Ambuj Kumar; Sharma, Umesh Kumar] GLA Univ, Inst Appl Sci &amp; Humanities, Dept Math, Mathura 281406, Uttar Pradesh, India</t>
  </si>
  <si>
    <t>Vidyasagar University; GLA University</t>
  </si>
  <si>
    <t>Sharma, UK (corresponding author), GLA Univ, Inst Appl Sci &amp; Humanities, Dept Math, Mathura 281406, Uttar Pradesh, India.</t>
  </si>
  <si>
    <t>0219-8878</t>
  </si>
  <si>
    <t>1793-6977</t>
  </si>
  <si>
    <t>INT J GEOM METHODS M</t>
  </si>
  <si>
    <t>Int. J. Geom. Methods Mod. Phys.</t>
  </si>
  <si>
    <t>10.1142/S0219887822502310</t>
  </si>
  <si>
    <t>Physics, Mathematical</t>
  </si>
  <si>
    <t>Superpixel based robust reversible data hiding scheme exploiting Arnold transform with DCT and CA</t>
  </si>
  <si>
    <t>[Singh, Prabhash Kumar; Jana, Biswapati] Vidyasagar Univ, Dept Comp Sci, West Midnapore 721102, India; [Singh, Prabhash Kumar; Datta, Kakali] Visva Bharati Univ, Dept Comp &amp; Syst Sci, Santini Ketan, W Bengal, India</t>
  </si>
  <si>
    <t>10.1016/j.jksuci.2020.09.014</t>
  </si>
  <si>
    <t>Pal, SK; Panchadhyayee, P</t>
  </si>
  <si>
    <t>Pal, Sanjoy Kumar; Panchadhyayee, Pradipta</t>
  </si>
  <si>
    <t>Optical Illusion: Capturing Light Interactions via a Semi-reflective Glass Window</t>
  </si>
  <si>
    <t>RESONANCE-JOURNAL OF SCIENCE EDUCATION</t>
  </si>
  <si>
    <t>Natural phenomena; photography; optical illusion; visual science; virtual image</t>
  </si>
  <si>
    <t>This article explores the interactions between outward light and light inside a room based on a fascinating photograph with images of square silver-colored plate-like LED panels on a cloudy sky background. A smartphone camera placed inside a room captured this wonderful panoramic view.</t>
  </si>
  <si>
    <t>[Pal, Sanjoy Kumar] Anandapur HS Sch, Midnapore 721122, India; [Pal, Sanjoy Kumar; Panchadhyayee, Pradipta] Inst Astron Space &amp; Earth Sci, Kolkata 700054, India; [Panchadhyayee, Pradipta] Vidyasagar Univ, Prabhat Kumar Coll, Dept Phys UG &amp; PG, Contai 721404, Purba Medinipur, India</t>
  </si>
  <si>
    <t>Pal, SK (corresponding author), Anandapur HS Sch, Midnapore 721122, India.;Pal, SK; Panchadhyayee, P (corresponding author), Inst Astron Space &amp; Earth Sci, Kolkata 700054, India.;Panchadhyayee, P (corresponding author), Vidyasagar Univ, Prabhat Kumar Coll, Dept Phys UG &amp; PG, Contai 721404, Purba Medinipur, India.</t>
  </si>
  <si>
    <t>0971-8044</t>
  </si>
  <si>
    <t>0973-712X</t>
  </si>
  <si>
    <t>10.1007/s12045-024-1709-6</t>
  </si>
  <si>
    <t>Education, Scientific Disciplines</t>
  </si>
  <si>
    <t>Dhal, Asima; Nayim, Sk; Pattanayek, Swadesh; Khatun, Munira; Barman, Subhajit; Paria, Samaresh; Shit, Basudev; Kundu, Somenath; Jha, Pradeep K.; Hossain, Maidul</t>
  </si>
  <si>
    <t>Evaluation of calf thymus DNA binding of newly synthesize five 9-O- Imidazolyl alkyl berberine derivative: A comparative multi-spectroscopic and calorimetric study</t>
  </si>
  <si>
    <t>[Dhal, Asima; Nayim, Sk; Pattanayek, Swadesh; Khatun, Munira; Barman, Subhajit; Paria, Samaresh; Shit, Basudev; Kundu, Somenath; Hossain, Maidul] Vidyasagar Univ, Dept Chem, Midnapore 721102, West Bengal, India; [Jha, Pradeep K.] ACE Green Recycling Inc, Res &amp; Dev, Singapore, Singapore; [Hossain, Maidul] Vidyasagar Univ, Dept Chem &amp; Chem Technol, Midnapore 721102, West Bengal, India</t>
  </si>
  <si>
    <t>10.1016/j.ijbiomac.2023.126958</t>
  </si>
  <si>
    <t>Bala, Susmita; Reddy, P. Soni; Sarkar, Sushanta; Sarkar, Partha Pratim</t>
  </si>
  <si>
    <t>Small Size Wideband Monopole Antenna with Five Notch Bands for Different Wireless Applications</t>
  </si>
  <si>
    <t>RADIOENGINEERING</t>
  </si>
  <si>
    <t>[Bala, Susmita] Vidyasagar Univ, Dept Elect, Midnapore, W Bengal, India; [Reddy, P. Soni; Sarkar, Sushanta; Sarkar, Partha Pratim] Kalyani Univ, DETS, Kalyani, W Bengal, India</t>
  </si>
  <si>
    <t>Vidyasagar University; Kalyani University</t>
  </si>
  <si>
    <t>Bala, S (corresponding author), Vidyasagar Univ, Dept Elect, Midnapore, W Bengal, India.</t>
  </si>
  <si>
    <t>SPOLECNOST PRO RADIOELEKTRONICKE INZENYRSTVI</t>
  </si>
  <si>
    <t>PRAHA</t>
  </si>
  <si>
    <t>CZECH TECHNICAL UNIVERSITY, DEPT OF ELECTROMAGNETIC FIELD, TECHNICKA 2, PRAHA, CZ-16627, CZECH REPUBLIC</t>
  </si>
  <si>
    <t>1210-2512</t>
  </si>
  <si>
    <t>10.13164/re.2022.0023</t>
  </si>
  <si>
    <t>Mandal, Usha; Beg, Hasibul; Misra, Ajay</t>
  </si>
  <si>
    <t>Effect of charge transfer on the first hyper-polarizability of N,N-dimethylaniline and julolidine: a DFT based comparative study</t>
  </si>
  <si>
    <t>JOURNAL OF MOLECULAR MODELING</t>
  </si>
  <si>
    <t>[Mandal, Usha; Misra, Ajay] Vidyasagar Univ, Dept Chem, Midnapore 721101, India; [Beg, Hasibul] Raja NL Khan Womens Coll, Dept Chem, Midnapore 721102, India</t>
  </si>
  <si>
    <t>1610-2940</t>
  </si>
  <si>
    <t>0948-5023</t>
  </si>
  <si>
    <t>10.1007/s00894-023-05755-6</t>
  </si>
  <si>
    <t>Biochemistry &amp; Molecular Biology; Biophysics; Chemistry, Multidisciplinary; Computer Science, Interdisciplinary Applications</t>
  </si>
  <si>
    <t>Biochemistry &amp; Molecular Biology; Biophysics; Chemistry; Computer Science</t>
  </si>
  <si>
    <t>Generalized m-Polar Fuzzy Planar Graph and Its Application</t>
  </si>
  <si>
    <t>IEEE ACCESS</t>
  </si>
  <si>
    <t>[Mondal, Uttam; Pal, Madhumangal] Vidyasagar Univ, Dept Appl Math Oceanol &amp; Comp Programming, Midnapore, Midnapore 721102, India; [Mahapatra, Tanmoy] Ramkrishna Mahato Govt Engn Coll, Dept Math, Purulia 723103, India; [Xin, Qin] Univ Faroe Isl, Fac Sci &amp; Technol, Torshavn 100, Faroe Islands, Denmark</t>
  </si>
  <si>
    <t>Pal, M (corresponding author), Vidyasagar Univ, Dept Appl Math Oceanol &amp; Comp Programming, Midnapore, Midnapore 721102, India.</t>
  </si>
  <si>
    <t>IEEE-INST ELECTRICAL ELECTRONICS ENGINEERS INC</t>
  </si>
  <si>
    <t>PISCATAWAY</t>
  </si>
  <si>
    <t>445 HOES LANE, PISCATAWAY, NJ 08855-4141 USA</t>
  </si>
  <si>
    <t>2169-3536</t>
  </si>
  <si>
    <t>10.1109/ACCESS.2023.3339220</t>
  </si>
  <si>
    <t>Computer Science, Information Systems; Engineering, Electrical &amp; Electronic; Telecommunications</t>
  </si>
  <si>
    <t>Computer Science; Engineering; Telecommunications</t>
  </si>
  <si>
    <t>Patra, N.; Amanathulla, S. K.; Pal, M.; Mondal, S.</t>
  </si>
  <si>
    <t>A RESTRICTED L(2,1)-LABELLING PROBLEM ON INTERVAL GRAPHS</t>
  </si>
  <si>
    <t>[Patra, N.; Mondal, S.] Raja NL Khan Womens Coll, Dept Math, Midnapore 721102, India; [Amanathulla, S. K.] Raghunathpur Coll, Dept Math, Purulia 723121, India; [Pal, M.] Vidyasagar Univ, Dept Appl Math Oceanol &amp; Comp Programming, Midnapore 721102, India</t>
  </si>
  <si>
    <t>Das, Sankar; Ghorai, Ganesh; Xin, Qin</t>
  </si>
  <si>
    <t>Picture Fuzzy Threshold Graphs with Application in Medicine Replenishment</t>
  </si>
  <si>
    <t>ENTROPY</t>
  </si>
  <si>
    <t>[Das, Sankar; Ghorai, Ganesh] Vidyasagar Univ, Dept Appl Math Oceanol &amp; Comp Programming, Midnapore 721102, India; [Das, Sankar] Kharagpur Coll, Dept Math, Kharagpur 721305, W Bengal, India; [Xin, Qin] Univ Faroe Isl, Fac Sci &amp; Technol, FR-100 Torshavn, Faroe Islands</t>
  </si>
  <si>
    <t>1099-4300</t>
  </si>
  <si>
    <t>ENTROPY-SWITZ</t>
  </si>
  <si>
    <t>Entropy</t>
  </si>
  <si>
    <t>10.3390/e24050658</t>
  </si>
  <si>
    <t>Acharyya, Samiran; Changdar, Chiranjit; Nandi, Utpal</t>
  </si>
  <si>
    <t>A special 0-1 Knapsack problem for a small vegetable retailing system under fuzziness: a swarm optimization based approach</t>
  </si>
  <si>
    <t>NEURAL COMPUTING &amp; APPLICATIONS</t>
  </si>
  <si>
    <t>[Acharyya, Samiran] Kharagpur Coll, Dept Comp Sci, Kharagpur 721305, West Bengal, India; [Changdar, Chiranjit] Belda Coll, Dept Comp Sci, Belda 721424, W Bengal, India; [Nandi, Utpal] Vidyasagar Univ, Dept Comp Sci, Vidyasagar, W Bengal, India</t>
  </si>
  <si>
    <t>Changdar, C (corresponding author), Belda Coll, Dept Comp Sci, Belda 721424, W Bengal, India.</t>
  </si>
  <si>
    <t>SPRINGER LONDON LTD</t>
  </si>
  <si>
    <t>236 GRAYS INN RD, 6TH FLOOR, LONDON WC1X 8HL, ENGLAND</t>
  </si>
  <si>
    <t>0941-0643</t>
  </si>
  <si>
    <t>1433-3058</t>
  </si>
  <si>
    <t>NEURAL COMPUT APPL</t>
  </si>
  <si>
    <t>Neural Comput. Appl.</t>
  </si>
  <si>
    <t>10.1007/s00521-022-06944-9</t>
  </si>
  <si>
    <t>Pradhan, S; Manna, S; Mondal, R; Mandal, AK</t>
  </si>
  <si>
    <t>Pradhan, Sayantan; Manna, Simi; Mondal, Rittick; Mandal, Amit Kumar</t>
  </si>
  <si>
    <t>Tetra decyl oxirane and 1-octadecyne as promising antimalarial molecules</t>
  </si>
  <si>
    <t>[Pradhan, Sayantan; Mondal, Rittick; Mandal, Amit Kumar] Raiganj Univ, Dept Sericulture, North Dinajpur 733134, India; [Pradhan, Sayantan] Off Chief Med Officer Hlth, Publ Hlth &amp; Communicable Dis Branch, Purulia 723101, India; [Manna, Simi] Vidyasagar Univ, Dept Biomed Lab Sci &amp; Management, Midnapore 721102, India</t>
  </si>
  <si>
    <t>Mandal, AK (corresponding author), Raiganj Univ, Dept Sericulture, North Dinajpur 733134, India.</t>
  </si>
  <si>
    <t>Samui, R; Saha, S; Mandal, AK; Bhunia, AK</t>
  </si>
  <si>
    <t>Samui, Rajesh; Saha, Satyajit; Mandal, Amit Kumar; Bhunia, Amit Kumar</t>
  </si>
  <si>
    <t>Biocompatible 2D SnSe Nanoflake Employed Enhanced Photocatalytic Degradation of Rhodamine B</t>
  </si>
  <si>
    <t>SnSe nanoflake; Rodamine B; Photocatalytic; Red blood cells; Hemocompatibility</t>
  </si>
  <si>
    <t>P-N-JUNCTION; DYE; NANOCOMPOSITES; GENERATION</t>
  </si>
  <si>
    <t>In this article, we report the results of the photocatalytic effect of the cost effective grown SnSe nanoparticles (NPs), nanoflakes (NFs), nanoflowers (NFLs) on the toxic water contaminant dye of Rhodamine B (RhB) under visible light irradiation different duration time. The results showed that for the degradation of 99 %, 96 % and 94 % of the RhB have been occurred in presence of NFs, NFLs, NPs, respectively for the irradiation time of 30 min, 45 min, 65 min, respectively. Before photocatalytic test, the grown SnSe were characterised optically and structurally. The nanoparticles, nano flakes, nanoflowers morphology along with atomic composition of Sn and Se were observed from FESEM images and EDAX analysis. The direct band gap of the NPs, NFs, NFLs was calculated from UV-VIS spectrum and found to be 1.89 eV, 1.78 eV, 1.7 eV, respectively. The crystal structure showed orthorhombic crystal phase with nanocrystal sizes varies from 22 nm to 31 nm. The Scavenger test in presence of the scavenging elements BQ, IPA, ethanol and EDTA have been discussed. The stability test showed that SnSe NFs is a good and stable catalysis for practical applications. The effect of the NFs, NPs, NFLs on red blood cell showed that all the tested SnSe nanostructures had &lt;2 % hemolysis, suggesting their hemocompatible nature.</t>
  </si>
  <si>
    <t>[Samui, Rajesh; Saha, Satyajit] Vidyasagar Univ, Dept Phys, Paschim Medinipur 721102, W Bengal, India; [Mandal, Amit Kumar] Raiganj Univ, Dept Sericulture, Raiganj 733134, W Bengal, India; [Bhunia, Amit Kumar] Govt Gen Degree Coll Gopiballavpur II, Dept Phys, Jhargram 721517, W Bengal, India</t>
  </si>
  <si>
    <t>10.1002/slct.202402366</t>
  </si>
  <si>
    <t>Morrison, AM; Bag, S; Mandal, K</t>
  </si>
  <si>
    <t>Morrison, Alastair M.; Bag, Sudin; Mandal, Kousik</t>
  </si>
  <si>
    <t>Virtual reality's impact on destination visit intentions and the moderating role of amateur photography</t>
  </si>
  <si>
    <t>TOURISM REVIEW</t>
  </si>
  <si>
    <t>Virtual reality experiences; Emotional experiences; Visit intentions; Holiday destinations; Amateur photography; S-O-R framework; Structural equation modelling; ??????; ????; ????; ?????; ????; S-O-R??; ??????; Experiencias de realidad virtual; Experiencias emocionales; Intenciones de visita; Destinos vacacionales; Fotografia amateur; Marco S-O-R; Modelizacion de ecuaciones estructurales</t>
  </si>
  <si>
    <t>TOURISTS EMOTIONAL EXPERIENCES; COMMON METHOD BIAS; MENTAL-IMAGERY; MODELS; SATISFACTION; TECHNOLOGY; LOYALTY; MOBILE; RISK</t>
  </si>
  <si>
    <t>PurposeThis paper aims to investigate the effects of virtual reality experiences (VREs) and emotions on holiday destination visit intentions by applying the stimulus-organism-response (S-O-R) framework. It also examined the role of amateur photography as a moderator in the relationship between VREs, emotions and visit intentions. Design/methodology/approachPrimary data were collected through a structured survey questionnaire administered in India, and structural equation modelling (SEM) was used to examine relationships among variables. The formal survey was preceded by a pilot study. The partial least squares-SEM product indicator technique was applied to measure the moderation effect of amateur photography. FindingsWhen people have high levels of positive emotions in the pre-travel stage with VRE participation, their intentions to visit destinations are stronger. Amateur photography moderated the relationships between user interactivity, memorable experiences, mental imagery and visit intentions. No significant moderating effect was found between emotional experiences and visit intentions. Practical implicationsThe results indicate that creators of virtual reality (VR) communications should concentrate on producing interactive and visually striking VR content, as the research found that VR experiences with tourism-related activities have a significant impact on potential visitor emotions. Therefore, VR producers should incorporate authentic and distinctive elements into contents, giving viewers realistic and trustworthy VR tourism experiences. Destination marketers should evoke emotions in people to increase motivations to visit the VR-presented places. Destination marketers should create VR content with hedonic elements, fostering a connection and desire to visit the destination presented in the VR. For example, destination marketers can enhance the sensory aspects of VR content with audio, video, haptics and artificial intelligence, encouraging people to be emotionally captivated and fully immersed. The findings indicate that amateur photography has a significant moderating effect on prospective tourists' intentions to visit a place presented in VR. Thus, destination marketers are advised to provide photogenic and relevant content to users. By using amateur photography, destinations can market their attractions to potential visitors in a more interactive and relatable manner. Showcasing images taken by amateur photographers presents a genuine perspective of the offerings, thereby increasing visit intentions among prospective visitors. Additionally, amateur photography helps promote the destination in a positive light, emphasizing the attractions and other offerings, and this encourages potential visitors to consider the destination as a travel option, thereby increasing visit intentions. Encouraging amateur photographers to take and share images also increases their engagement with the destination, creating a sense of community and connection and ultimately driving visit intentions. Destination marketers should embrace VR tourism content as a means of promoting their destinations to potential customers by considering the three crucial elements of memorable experiences, emotional experiences and mental imagery. In essence, destination management organizations and other decision makers should develop complete VR communication plans that incorporate interactive and visually striking activities. This can be done by creating VR experiences for prospective tourists, which will enable them to pick their preferred destinations at the pre-travel stage. Through this approach, an effective destination marketing strategy can be established. Originality/valueThis research has value in making several potential contributions to the tourism applications of VR. It is the first study to use and test the S-O-R framework to analyse tourist behaviour from the perspective of emotions generated by VR applications. The analysis focuses on India's tourism market, which has not been explored much in the context of VR and from the perspective of a developing country. The research emphasizes the use of VR as a tool to understand tourist behaviour rather than just focusing on visit intentions. The findings provide valuable insights into the importance of VR in tourism. The knowledge generated will contribute to the understanding of the impact of VR experiences on emotions and visit intentions and the moderating effect of amateur photography. It has practical implications for destination marketers in developing effective marketing strategies that enhance tourists' emotions and motivate visit intentions.</t>
  </si>
  <si>
    <t>[Morrison, Alastair M.] Univ Greenwich, Sch Management &amp; Mkt, Greenwich Business Sch, London, England; [Bag, Sudin; Mandal, Kousik] Vidyasagar Univ, Dept Business Adm, Midnapore, India</t>
  </si>
  <si>
    <t>University of Greenwich; Vidyasagar University</t>
  </si>
  <si>
    <t>Morrison, AM (corresponding author), Univ Greenwich, Sch Management &amp; Mkt, Greenwich Business Sch, London, England.</t>
  </si>
  <si>
    <t>1660-5373</t>
  </si>
  <si>
    <t>1759-8451</t>
  </si>
  <si>
    <t>10.1108/TR-12-2022-0621</t>
  </si>
  <si>
    <t>Hospitality, Leisure, Sport &amp; Tourism</t>
  </si>
  <si>
    <t>Green Accepted</t>
  </si>
  <si>
    <t>Kabita, S; Ali, SN; Saadi, SMA</t>
  </si>
  <si>
    <t>Kabita, Sk; Ali, Sk Nasim; Saadi, Sk Md Abu Imam</t>
  </si>
  <si>
    <t>Node Date Estimation of Diversified Species of Ray-Finned Fish Based on Morphological and Molecular (Vitellogenin 3) Characters Using Bayesian Analysis</t>
  </si>
  <si>
    <t>TURKISH JOURNAL OF FISHERIES AND AQUATIC SCIENCES</t>
  </si>
  <si>
    <t>Bayesian inference; Evolutionary time scale; Morphological traits; Bony fish; vtg3 gene</t>
  </si>
  <si>
    <t>DIVERGENCE TIME-ESTIMATION; GENOME DUPLICATION; MITOCHONDRIAL GENOME; EVOLUTION; ORIGIN; ACTINOPTERYGII; REVEALS; SALMON; GENES</t>
  </si>
  <si>
    <t>Fish and other oviparous and ovoviviparous animals contain vitellogenin (Vtg), an egg yolk precursor phospholipoglycoprotein, which is the prerequisite for oocyte growth during oogenesis. Vtg is also employed as a biomarker to assess the reproductive health of female fish. In this study, we select 34 ray-finned fish under the class Actinopterygii to investigate the evolutionary time scale of their diversification age based on the molecular (vtg3 gene) as well as the combined (morphological and vtg3 gene) characters using different evolutionary models in Bayesian analysis. The analysis indicates that the species of different orders evolved in different epochs. In the case of molecular-based analysis, the orders Cyprinodontiformes and Perciformes are diversified in early Eocene to Oligocene, Anabantiformes in late Eocene, Cypriniformes in Oligocene &amp; Salmoniformes Miocene. In the case of morpho-molecular based analysis the order Cyprinodontiformes is diversified in early Eocene to Oligocene, Anabantiformes in late Eocene, Perciformes in late Eocene to Oligocene, Cypriniformes in Oligocene to Miocene &amp; Salmoniformes Oligocene to Pliocene. However, both analyses suggest that most of the selected species are diversified in Miocene, Oligocene, Eocene, and Paleocene Epoch between 5 - 65 MYA.</t>
  </si>
  <si>
    <t>[Kabita, Sk; Saadi, Sk Md Abu Imam] Aliah Univ, Dept Biol Sci, IIA-27, Kolkata 700160, W Bengal, India; [Ali, Sk Nasim] Vidyasagar Univ, Dept Bot &amp; Forestry, Midnapore 721102, W Bengal, India</t>
  </si>
  <si>
    <t>Saadi, SMA (corresponding author), Aliah Univ, Dept Biol Sci, IIA-27, Kolkata 700160, W Bengal, India.</t>
  </si>
  <si>
    <t>CENTRAL FISHERIES RESEARCH INST</t>
  </si>
  <si>
    <t>TRABZON</t>
  </si>
  <si>
    <t>PO BOX 129, TRABZON, 61001, Turkiye</t>
  </si>
  <si>
    <t>1303-2712</t>
  </si>
  <si>
    <t>2149-181X</t>
  </si>
  <si>
    <t>10.4194/TRJFAS24166</t>
  </si>
  <si>
    <t>Das, S; Pal, TK; Jana, RN</t>
  </si>
  <si>
    <t>Das, Sanatan; Pal, Tilak Kumar; Jana, Rabindra Nath</t>
  </si>
  <si>
    <t>Thermal flow of dust particulates-laden fluid in a slanted channel subject to magnetic force, radiant heat flux, and slip and periodic thermal conditions</t>
  </si>
  <si>
    <t>COMPUTATIONAL PARTICLE MECHANICS</t>
  </si>
  <si>
    <t>Thermal flow; Dust-laden fluid; Casson model; Magnetic force; Radiant heat flux; Slanted channel</t>
  </si>
  <si>
    <t>STRETCHING SHEET; FREE-CONVECTION; COUETTE-FLOW; MICROPOLAR; NANOFLUID; PLATE</t>
  </si>
  <si>
    <t>In aerospace and automotive industries, the control of thermal flows and particulate matter is crucial for the efficient operation of engine cooling systems and optimizing the aerodynamics of vehicles. Understanding the dynamics of natural phenomena such as the movement of volcanic ash, dust storms, and other astrophysical and geophysical flows influenced by thermal and magnetic forces is essential. Within this framework, the primary objective of our study is to develop a model and simulate the heat-driven movement of a solid dust particulate-embedded fluid influenced by thermal emission and magnetic forces in a slanted channel. Our approach utilizes the Casson fluid model to represent the dusty fluid's characteristics. The model takes into account emerging factors like buoyancy force, radiant heat flux, velocity slip condition, and periodic thermal boundary conditions. To mathematically describe the time-dependent flow, partial differential equations are employed, and compact-form solutions are derived. A series of graphs and tables are constructed to demonstrate the aftermath of various contextual parameters on flow profiles and related quantities. These visual aids effectively portray the changes in the flow dynamics under different conditions. The research reveals that in the fluid phase (FP), the velocity and thermal fields generally display higher values, whereas in the dust phase (DP), these values are lower within the channel. As particles' concentration parameter upsurges, the thermal curve declines, irrespective of whether it is FP or DP. Additionally, the shear stresses at the channel walls intensify with increased particle relaxation time. Notably, pronounced periodic temperature fluctuations at the right wall significantly influence the heat transfer rates at both channel walls. This research can aid in designing more effective air filtration systems, refining vehicle design for improved aerodynamics, and managing particulate pollutants in industrial settings.</t>
  </si>
  <si>
    <t>[Das, Sanatan; Pal, Tilak Kumar] Univ Gour Banga, Dept Math, Malda 732103, India; [Jana, Rabindra Nath] Vidyasagar Univ, Dept Appl Math, Midnapore 721102, India</t>
  </si>
  <si>
    <t>2196-4378</t>
  </si>
  <si>
    <t>2196-4386</t>
  </si>
  <si>
    <t>10.1007/s40571-024-00761-8</t>
  </si>
  <si>
    <t>Mathematics, Interdisciplinary Applications; Mechanics</t>
  </si>
  <si>
    <t>Mathematics; Mechanics</t>
  </si>
  <si>
    <t>Das, P; Ibrahim, S; Chakraborty, K; Ghosh, S; Pal, T</t>
  </si>
  <si>
    <t>Das, Poulomi; Ibrahim, Sk; Chakraborty, Koushik; Ghosh, Surajit; Pal, Tanusri</t>
  </si>
  <si>
    <t>Stepwise reduction of graphene oxide and studies on defect-controlled physical properties</t>
  </si>
  <si>
    <t>PHOTOCATALYTIC DEGRADATION; GRAPHITE OXIDE; PHOTOLUMINESCENCE; ADSORPTION; RGO; NANOCOMPOSITE; CONDUCTIVITY; DISPERSIONS; COMPOSITE; DEVICE</t>
  </si>
  <si>
    <t>Graphene oxide (GO) is a monolayer of oxidized graphene which is a convenient and potential candidate in a wide range of fields of applications like electronics, photonics, optoelectronics, energy storage, catalysis, chemical sensors, and many others. GO is often composed of various oxygen-containing groups such as hydroxyl, carboxyl, and epoxy. One appealing method for achieving graphene-like behavior with sp2 hybridized carbon is the reduction of GO i.e. formation of reduced graphene oxide (RGO). A stepwise reduction GO to form a family of RGO, containing various quantities of oxygen-related defects was carried out. Herein, the defects related chemical and physical properties of GO and the RGO family were studied and reported in an effort to understand how the properties of RGO vary with the reduction rate. Although there are several reports on various features and applications of GO and RGO but a systematic investigation of the variation of the physical and chemical properties in RGO with the varying quantities of oxygeneous defects is imperative for the engineered physical properties in achieving the desired field of applications. We have attempted to look at the role of sp2 and sp3 carbon fractions, which are present in RGO-based systems, and how they affect the electrical, optoelectronic, and adsorption characteristics.</t>
  </si>
  <si>
    <t>[Das, Poulomi; Pal, Tanusri] Midnapore Coll, Dept Phys, Midnapore 721101, WB, India; [Ibrahim, Sk; Chakraborty, Koushik; Ghosh, Surajit] Vidyasagar Univ, Dept Phys, Midnapore 721102, WB, India</t>
  </si>
  <si>
    <t>Pal, T (corresponding author), Midnapore Coll, Dept Phys, Midnapore 721101, WB, India.;Ghosh, S (corresponding author), Vidyasagar Univ, Dept Phys, Midnapore 721102, WB, India.</t>
  </si>
  <si>
    <t>10.1038/s41598-023-51040-0</t>
  </si>
  <si>
    <t>Spatial-averaged turbulence characteristics over staggered pattern roughness</t>
  </si>
  <si>
    <t>MECCANICA</t>
  </si>
  <si>
    <t>[Shounda, Jayanta; Barman, Krishnendu] Vidyasagar Univ, Dept Appl Math Oceanol &amp; Comp Programming, Midnapore 721102, India; [Debnath, Koustuv] Indian Inst Engn Sci &amp; Technol IIEST, Dept Aerosp Engn &amp; Appl Mech, Sibpur 711103, India</t>
  </si>
  <si>
    <t>0025-6455</t>
  </si>
  <si>
    <t>1572-9648</t>
  </si>
  <si>
    <t>10.1007/s11012-023-01728-4</t>
  </si>
  <si>
    <t>Mechanics</t>
  </si>
  <si>
    <t>Reversible data hiding strategy exploiting circular distance interpolation utilizing optimal pixel adjustment with error substitution</t>
  </si>
  <si>
    <t>[Jana, Manasi] Haldia Inst Technol, Dept Comp Applicat, Purba Medinipur 721657, W Bengal, India; [Jana, Biswapati] Vidyasagar Univ, Dept Comp Sci, Midnapore 721102, W Bengal, India; [Joardar, Subhankar] Haldia Inst Technol, Dept Comp Sci &amp; Engn, Purba Medinipur 721657, W Bengal, India</t>
  </si>
  <si>
    <t>Jana, B (corresponding author), Vidyasagar Univ, Dept Comp Sci, Midnapore 721102, W Bengal, India.</t>
  </si>
  <si>
    <t>10.1007/s11042-023-17014-0</t>
  </si>
  <si>
    <t>Jana, Sharmistha Halder; Jana, Biswapati; Lu, Tzu Chuen</t>
  </si>
  <si>
    <t>Multimedia Authentication Through Digital Tattooing Scheme at IoT Perception Layer for Smart City</t>
  </si>
  <si>
    <t>IETE JOURNAL OF RESEARCH</t>
  </si>
  <si>
    <t>[Jana, Sharmistha Halder; Lu, Tzu Chuen] Chaoyang Univ Technol, Dept Informat Management, Taichung, Taiwan; [Jana, Biswapati] Vidyasagar Univ, Dept Comp Sci, Midnapore 721102, India</t>
  </si>
  <si>
    <t>Jana, B (corresponding author), Vidyasagar Univ, Dept Comp Sci, Midnapore 721102, India.</t>
  </si>
  <si>
    <t>0377-2063</t>
  </si>
  <si>
    <t>0974-780X</t>
  </si>
  <si>
    <t>10.1080/03772063.2023.2220310</t>
  </si>
  <si>
    <t>Engineering, Electrical &amp; Electronic; Telecommunications</t>
  </si>
  <si>
    <t>Al Mamon, Abdulla; Sharma, Umesh Kumar; Kumar, Mukesh; Mishra, Ambuj Kumar</t>
  </si>
  <si>
    <t>Cosmic consequences of Barrow holographic dark energy with Granda-Oliveros cut-off in fractal cosmology</t>
  </si>
  <si>
    <t>[Al Mamon, Abdulla] Vidyasagar Univ, Vivekananda Satavarshiki Mahavidyalaya, Dept Phys, Manikpara 721513, W Bengal, India; [Sharma, Umesh Kumar; Kumar, Mukesh; Mishra, Ambuj Kumar] GLA Univ, Inst Appl Sci &amp; Humanities, Dept Math, Mathura 281406, Uttar Pradesh, India</t>
  </si>
  <si>
    <t>10.1007/s10714-023-03126-3</t>
  </si>
  <si>
    <t>Kabiraj, A; Datta, S; Bandopadhyay, R</t>
  </si>
  <si>
    <t>Kabiraj, Ashutosh; Datta, Sayan; Bandopadhyay, Rajib</t>
  </si>
  <si>
    <t>Arsenic Removal from Water by Using Bacterial Dry Biomasses</t>
  </si>
  <si>
    <t>NATIONAL ACADEMY SCIENCE LETTERS-INDIA</t>
  </si>
  <si>
    <t>Arsenic; Bacillus pacificus; Bioadsorption; Micrococcus luteus</t>
  </si>
  <si>
    <t>AQUEOUS-SOLUTION; BIOSORPTION</t>
  </si>
  <si>
    <t>A huge population of the world is regularly drinking arsenic contaminated groundwater and as a consequence, they are suffering from different diseases, including cancer. Besides the conventional methods of arsenic remediation through physical and chemical techniques, bioremediation by using arsenic tolerable bacteria is comparatively cost-effective and wise approach. For this reason, dead biomasses of two arsenic contaminated groundwater inhabiting bacterial strains, Bacillus pacificus AKS1a and Micrococcus luteus AKS4c were used to remove arsenic from distilled water supplemented with 100 mg/L arsenite. Bioadsorption mediated arsenic removal potentialities were optimized by using various dosages of bacterial biomasses (250-1250 mu g/mL) in different pH (2.0 - 11) and contact time (0.5-24 h) at room temperature. In case of strain AKS1a, in pH 9.0, 1000 mu g/mL concentration bacterial biomass at 6 h contact time showed &gt; 50% of arsenic removal. On the other hand, strain AKS4c removed &gt; 77% of arsenic from water in pH 9.0, in 750 mu g/mL of biomass dosage, at 24 h of contact time. So, these potential bacterial biomasses could be used to remove arsenic from contaminated groundwater in future.</t>
  </si>
  <si>
    <t>[Kabiraj, Ashutosh; Bandopadhyay, Rajib] Univ Burdwan, Dept Bot, Purba Bardhaman 713104, West Bengal, India; [Datta, Sayan] Vidyasagar Univ, Oriental Inst Sci &amp; Technol, Dept Biotechnol, Midnapore 721102, West Bengal, India</t>
  </si>
  <si>
    <t>University of Burdwan; Vidyasagar University</t>
  </si>
  <si>
    <t>Bandopadhyay, R (corresponding author), Univ Burdwan, Dept Bot, Purba Bardhaman 713104, West Bengal, India.</t>
  </si>
  <si>
    <t>0250-541X</t>
  </si>
  <si>
    <t>2250-1754</t>
  </si>
  <si>
    <t>10.1007/s40009-024-01467-4</t>
  </si>
  <si>
    <t>Sahu, TN; Maity, S; Agarwala, V</t>
  </si>
  <si>
    <t>Sahu, Tarak Nath; Maity, Sudarshan; Agarwala, Varuna</t>
  </si>
  <si>
    <t>Route to prospects or distress?: COVID-19 and migrants' employment in India</t>
  </si>
  <si>
    <t>COMMUNITY WORK &amp; FAMILY</t>
  </si>
  <si>
    <t>Migration; migrant workers; COVID-19; employment; livelihood</t>
  </si>
  <si>
    <t>MIGRATION; WORKERS; URBAN</t>
  </si>
  <si>
    <t>In India, the COVID-19 pandemic called attention to the plight of the informal migrant workforce who travelled back to their villages on foot intending to sustain themselves and survive. Based on the responses of 374 migrants originally from West Bengal migrating to other regions in India and abroad, this paper explores how the COVID-19 pandemic shaped migrants' employment conditions. Using non-parametric tests, i.e. the Kruskal-Wallis, Wilcoxon, effect size, etc., the study compares migrants' access to work before the initiation of lockdown, during the lockdown and post-lockdown relaxation. Further, by applying logistic regression analysis, the study examines the factors influencing their preference to seek employment in regions other than their home states. The results indicate that the migrants experienced shortfalls during times of crisis. There were differences in their access to the previous jobs during and after the upliftment of the lockdown measures. Though there was uncertainty in accessing the previous jobs and fear of facing similar situations in the future, the analysis suggests that the migrants still preferred to move to other states in future.</t>
  </si>
  <si>
    <t>[Sahu, Tarak Nath; Agarwala, Varuna] Vidyasagar Univ, Dept Commerce, Midnapore 721102, West Bengal, India; [Maity, Sudarshan] Inst Cost Accountants India, Dept Examinat, Kolkata, West Bengal, India; [Agarwala, Varuna] Khatra Adibasi Mahavidyalaya, Dept Commerce, Khatra, West Bengal, India</t>
  </si>
  <si>
    <t>1366-8803</t>
  </si>
  <si>
    <t>1469-3615</t>
  </si>
  <si>
    <t>10.1080/13668803.2024.2412701</t>
  </si>
  <si>
    <t>Sociology</t>
  </si>
  <si>
    <t>Mistri, S; Manna, SC</t>
  </si>
  <si>
    <t>Mistri, Soumen; Manna, Subal Chandra</t>
  </si>
  <si>
    <t>In-silico antibacterial activity of piperazinyl-based copper(II) metallo-organic pharmacophores</t>
  </si>
  <si>
    <t>JOURNAL OF COORDINATION CHEMISTRY</t>
  </si>
  <si>
    <t>Cu(II)-Schiff base compound; crystal structure; DFT/TD-DFT calculation; In-silico antibacterial activity</t>
  </si>
  <si>
    <t>ENERGIES; TOOL</t>
  </si>
  <si>
    <t>The piperazinyl-based Cu(II)-Schiff base complex {[Cu(HL1 ')(N-3)](2)center dot(ClO4)(2)4H2O} (1) [HL1 ' is the Zwitter ionic form of (E)-2-((2-piperazin-1-ylethylimino)methyl)phenol] was synthesized and characterized by spectroscopic and single crystal X-ray diffraction studies. The X-ray single crystal structure analysis shows that the asymmetric unit of 1 contains a four-coordinate discrete complex cation, [Cu(HL1 ')(N-3)](+) (1a), with a perchlorate anion and a lattice water molecule. Two square planar units of 1a are dimerized by weak CuN intermolecular interaction, forming [Cu(HL1 ')(N-3)](2)(2+) (1 ' a). DFT and TD-DFT calculations of the monomeric cationic unit, [Cu(HL1 ')(N-3)](+) (1a) were performed. In-silico antibacterial activities of HL1 as well as monomeric and dimeric cationic units 1a and 1'a, respectively, were performed and study shows that 1a (EC50 0.30 mu M) and 1 ' a (EC50 0.06 mu M) may be treated as antibacterial drugs after in-vivo analysis and clinical testing.</t>
  </si>
  <si>
    <t>[Mistri, Soumen; Manna, Subal Chandra] Vidyasagar Univ, Dept Chem &amp; Chem Technol, Midnapore 721102, West Bengal, India; [Mistri, Soumen] Ramananda Centenary Coll, Dept Chem, Purulia 723151, West Bengal, India</t>
  </si>
  <si>
    <t>Mistri, S (corresponding author), Vidyasagar Univ, Dept Chem &amp; Chem Technol, Midnapore 721102, West Bengal, India.;Mistri, S (corresponding author), Ramananda Centenary Coll, Dept Chem, Purulia 723151, West Bengal, India.</t>
  </si>
  <si>
    <t>0095-8972</t>
  </si>
  <si>
    <t>1029-0389</t>
  </si>
  <si>
    <t>J COORD CHEM</t>
  </si>
  <si>
    <t>J. Coord. Chem.</t>
  </si>
  <si>
    <t>15-16</t>
  </si>
  <si>
    <t>10.1080/00958972.2024.2397801</t>
  </si>
  <si>
    <t>Chemistry, Inorganic &amp; Nuclear</t>
  </si>
  <si>
    <t>Dewan, M; Bera, S; Samanta, S; Kundu, D; Jana, R</t>
  </si>
  <si>
    <t>Dewan, Mitali; Bera, Sachinath; Samanta, Shubhankar; Kundu, Debasish; Jana, Rathin</t>
  </si>
  <si>
    <t>Synthesis of Polynuclear Aromatic Hydrocarbons by Palladium-catalyzed C-H Bond Functionalization</t>
  </si>
  <si>
    <t>CURRENT ORGANIC CHEMISTRY</t>
  </si>
  <si>
    <t>C-H activation; Pd-catalyzed; PAH; phenanthrene; heck reaction</t>
  </si>
  <si>
    <t>O-BROMOBENZYL ALCOHOLS; 1,4-PALLADIUM MIGRATION; SUBSTITUTED PICENES; INTERNAL ALKYNES; DIRECT ARYLATION; DOMINO REACTION; ARYL IODIDES; ACTIVATION; CRYSTAL; CASCADE</t>
  </si>
  <si>
    <t>Nowadays palladium-catalyzed C-H bond activation is a useful approach for the synthetic transformation of organic compounds due to step economy, the use of non-prefunctionalized substrates and reduced chemical wastes. Among the various synthetic strategies, palladium catalyzed intra and inter-molecular C-H bond activation has recently drawn a lot of interest to synthesize the decorated pi-conjugated polycyclic aromatic hydrocarbon. In this review, we have focused on recent progress along with previous strategies to synthesize various polynuclear aromatic hydrocarbons (PAHs) by the use of Pd-catalyzed C-H bond activation. We have also discussed the mechanistic details of the reaction intra and inter-molecular C-H bond activation.</t>
  </si>
  <si>
    <t>[Dewan, Mitali; Bera, Sachinath; Jana, Rathin] Vidyasagar Univ, Shahid Matangini Hazra Govt Gen Degree Coll Women, Purba Medinipur, WB, India; [Samanta, Shubhankar] Bidhannagar Coll, Kolkata 700064, India; [Kundu, Debasish] Govt Gen Degree Coll, Dept Chem, Mangalkote, India</t>
  </si>
  <si>
    <t>Jana, R (corresponding author), Vidyasagar Univ, Shahid Matangini Hazra Govt Gen Degree Coll Women, Purba Medinipur, WB, India.;Kundu, D (corresponding author), Govt Gen Degree Coll, Dept Chem, Mangalkote, India.</t>
  </si>
  <si>
    <t>1385-2728</t>
  </si>
  <si>
    <t>1875-5348</t>
  </si>
  <si>
    <t>10.2174/0113852728283702240605113835</t>
  </si>
  <si>
    <t>Sarkar, Nayan Kumar; Singh, Moirangthem Marjit; Nandi, Utpal</t>
  </si>
  <si>
    <t>A novel deep neural network model using network deconvolution with attention based activation for crop disease classification</t>
  </si>
  <si>
    <t>Image classification; Crop disease; Convolutional neural network; Network deconvolution; Attention based activation</t>
  </si>
  <si>
    <t>Accurate classification of crop diseases in its initial phase can help farmers to take necessary actions against the damage to their crops. The paper presents a Deep Learning (DL)-based crop disease classification approach that uses network deconvolution operation and attention-based activation function in each feature extraction layer. The existence of channel-wise and pixel-wise correlations in real-world images makes model training challenging. There is hardly any method available in the current literature that proposes the image correlation removal technique. The network deconvolution operation can efficiently remove both the correlations layer-wise. Hence, it is used in the proposed model. An attention-based activation function called AReLU is adopted in the model. The significance of AReLU activation function is to facilitate faster training. It can deal with gradient vanishing issue. The study considered Plant Village (PV), Tomato, and Grape datasets for performance evaluation. 80: 20 train-test split of the dataset was considered. The proposed model delivered significant results in comparison to other existing models, offering 100%, 99.27% and 99.10% classification accuracies and 99.88%, 99.06% and 99.01% F1-scores on Grape, PV and Tomato datasets respectively.</t>
  </si>
  <si>
    <t>[Sarkar, Nayan Kumar; Singh, Moirangthem Marjit] North Eastern Reg Inst Sci &amp; Technol, Dept Comp Sci &amp; Engn, Nirjuli, Arunachal Prade, India; [Nandi, Utpal] Vidyasagar Univ, Dept Comp Sci, Midnapore, West Bengal, India</t>
  </si>
  <si>
    <t>10.1007/s11042-023-16125-y</t>
  </si>
  <si>
    <t>Datta, Tridip Kumar; Al-Helal, Abdullah</t>
  </si>
  <si>
    <t>Review of Euchromadorinae (Nematoda: Chromadorida) with description of a new species of Trochamus Boucher &amp; De Bovee, 1971 from the Sundarban, India</t>
  </si>
  <si>
    <t>ZOOTAXA</t>
  </si>
  <si>
    <t>[Datta, Tridip Kumar] Zool Survey India, ENVIS Ctr, M Block New Alipore, Kolkata 700053, India; [Al-Helal, Abdullah] Vidyasagar Univ, Dept Zool, Midnapore 721102, West Bengal, India</t>
  </si>
  <si>
    <t>Zoological survey of India; Vidyasagar University</t>
  </si>
  <si>
    <t>Datta, TK (corresponding author), Zool Survey India, ENVIS Ctr, M Block New Alipore, Kolkata 700053, India.</t>
  </si>
  <si>
    <t>MAGNOLIA PRESS</t>
  </si>
  <si>
    <t>AUCKLAND</t>
  </si>
  <si>
    <t>250F Marua Road Mt Wellington, AUCKLAND, ST LUKES 1023, NEW ZEALAND</t>
  </si>
  <si>
    <t>1175-5326</t>
  </si>
  <si>
    <t>1175-5334</t>
  </si>
  <si>
    <t>Zootaxa</t>
  </si>
  <si>
    <t>10.11646/zootaxa.5278.3.4</t>
  </si>
  <si>
    <t>Zoology</t>
  </si>
  <si>
    <t>Uche, Emmanuel; Da, Narasingha; Bera, Pinki</t>
  </si>
  <si>
    <t>Re-examining the environmental Kuznets curve (EKC) for India via the multiple threshold NARDL procedure</t>
  </si>
  <si>
    <t>[Uche, Emmanuel] Abia State Univ, Dept Econ, Fac Econ &amp; Management Sci, Uturu, Abia, Nigeria; [Da, Narasingha] Economists Peace &amp; Secur, Sydney, Australia; [Bera, Pinki] Vidyasagar Univ, Dept Econ, Midnapore, Midnapore, West Bengal, India</t>
  </si>
  <si>
    <t>Uche, E (corresponding author), Abia State Univ, Dept Econ, Fac Econ &amp; Management Sci, Uturu, Abia, Nigeria.</t>
  </si>
  <si>
    <t>10.1007/s11356-022-22912-1</t>
  </si>
  <si>
    <t>Singh, Prabhas Kumar; Jana, Biswapati; Datta, Kakali</t>
  </si>
  <si>
    <t>Robust data hiding scheme through distinct keypoint selection exploiting modified Bilateral-Laplacian SIFT with encoding pipeline</t>
  </si>
  <si>
    <t>DISPLAYS</t>
  </si>
  <si>
    <t>[Singh, Prabhas Kumar; Jana, Biswapati] Vidyasagar Univ, Midnapore, India; [Jana, Biswapati] Visva Bharati Univ, Visva Bharati, India</t>
  </si>
  <si>
    <t>Jana, B (corresponding author), Vidyasagar Univ, Midnapore, India.</t>
  </si>
  <si>
    <t>0141-9382</t>
  </si>
  <si>
    <t>1872-7387</t>
  </si>
  <si>
    <t>10.1016/j.displa.2022.102268</t>
  </si>
  <si>
    <t>Computer Science, Hardware &amp; Architecture; Engineering, Electrical &amp; Electronic; Instruments &amp; Instrumentation; Optics</t>
  </si>
  <si>
    <t>Computer Science; Engineering; Instruments &amp; Instrumentation; Optics</t>
  </si>
  <si>
    <t>Double-averaged turbulence statistics of wave current flow over rough bed with staggered arrangement of hemispherical blocks</t>
  </si>
  <si>
    <t>OCEAN ENGINEERING</t>
  </si>
  <si>
    <t>Turbulence; Bed roughness; Double-averaged; Form-induced intensity; Third-order moments; Energy budget</t>
  </si>
  <si>
    <t>OPEN-CHANNEL FLOW; BOUNDARY-LAYERS; OVERLAND FLOWS; STRESSES; SCALES</t>
  </si>
  <si>
    <t>Double-average turbulence characteristics of combined wave-current flow are studied over a rough bed comprising hemispheres arranged in a staggered pattern with different spacing (p/r = 4, 6, and 8; p = pitch length, r = height). The instantaneous velocity data was collected by Acoustic Doppler Velocimetry for the evaluation of double-average (DA) velocity, turbulence intensity, form-induced intensity, Reynolds stress, and form-induced stresses. The smallest DA velocity was obtained for p/r = 4 at the bottom region, signifying that p/ r = 4 offered the maximum resistance to the flow among the tested cases. DA Reynolds stress is decreased for the entire flow depth due to superimposed waves. The advection of momentum-flux of normal stress in stream-wise and bottom-normal directions is increased at the outer layer and decreased at the near-bed region after waveimposition. Maximum TKE production and diffusion are obtained just above the interfacial sub-layer and the middle of the form-induced sub-layer respectively. The turbulence structure is strongly anisotropic at the bottom region for p/r = 4 and near the outer layer, the tendency towards the return to isotropic state is dominant while with the increase in roughness spacing, a decrease in anisotropy is observed. Furthermore, an increase in wavefrequency decreased the tendency for the return to isotropy at the free surface.</t>
  </si>
  <si>
    <t>0029-8018</t>
  </si>
  <si>
    <t>1873-5258</t>
  </si>
  <si>
    <t>10.1016/j.oceaneng.2023.116332</t>
  </si>
  <si>
    <t>Engineering, Marine; Engineering, Civil; Engineering, Ocean; Oceanography</t>
  </si>
  <si>
    <t>Engineering; Oceanography</t>
  </si>
  <si>
    <t>Ghosh, Suvendu; Chakraborty, Koushik; Pal, Tanusri; Ghosh, Surajit</t>
  </si>
  <si>
    <t>Photocatalytic degradation of tetracycline antibiotics by RGO-CdTe composite with enhanced apparent quantum efficiency</t>
  </si>
  <si>
    <t>[Ghosh, Suvendu; Chakraborty, Koushik; Ghosh, Surajit] Vidyasagar Univ, Dept Phys, Midnapore 721102, W Bengal, India; [Pal, Tanusri] Midnapore Coll, Dept Phys, Midnapore 721101, W Bengal, India</t>
  </si>
  <si>
    <t>Ghosh, S (corresponding author), Vidyasagar Univ, Dept Phys, Midnapore 721102, W Bengal, India.;Pal, T (corresponding author), Midnapore Coll, Dept Phys, Midnapore 721101, W Bengal, India.</t>
  </si>
  <si>
    <t>10.1038/s41598-023-46120-0</t>
  </si>
  <si>
    <t>Chakrabarti, Ranjan</t>
  </si>
  <si>
    <t>The Ravaged Paradise ENVIRONMENTAL HISTORY OF COLONIAL DARJEELING HIMALAYA (1835-1947) Foreword</t>
  </si>
  <si>
    <t>RAVAGED PARADISE: Environmental History of Colonial Darjeeling Himalaya (1835-1947)</t>
  </si>
  <si>
    <t>[Chakrabarti, Ranjan] Jadavpur Univ, Hist, Kolkata, India; [Chakrabarti, Ranjan] Vidyasagar Univ, Midnapore, India</t>
  </si>
  <si>
    <t>Chakrabarti, R (corresponding author), Jadavpur Univ, Hist, Kolkata, India.</t>
  </si>
  <si>
    <t>Environmental Studies; Ethnic Studies; History</t>
  </si>
  <si>
    <t>Environmental Sciences &amp; Ecology; Ethnic Studies; History</t>
  </si>
  <si>
    <t>Mondal, Subhadeep; Mondal, Krishnendu; Halder, Suman Kumar; Thakur, Nagendra; Mondal, Keshab Chandra</t>
  </si>
  <si>
    <t>Microbial Amylase: Old but still at the forefront of all major industrial enzymes</t>
  </si>
  <si>
    <t>BIOCATALYSIS AND AGRICULTURAL BIOTECHNOLOGY</t>
  </si>
  <si>
    <t>[Mondal, Subhadeep] Vidyasagar Univ, Ctr Life Sci, Midnapore 721102, W Bengal, India; [Mondal, Krishnendu; Halder, Suman Kumar; Mondal, Keshab Chandra] Vidyasagar Univ, Dept Microbiol, Midnapore 721102, W Bengal, India; [Thakur, Nagendra] Sikkim Univ, Sch Life Sci, Dept Microbiol, 6th Mile, Gangtok 737102, Sikkim, India</t>
  </si>
  <si>
    <t>Vidyasagar University; Vidyasagar University; Sikkim University</t>
  </si>
  <si>
    <t>1878-8181</t>
  </si>
  <si>
    <t>10.1016/j.bcab.2022.102509</t>
  </si>
  <si>
    <t>Najar, Ishfaq Nabi; Das, Sayak; Kumar, Santosh; Sharma, Prayatna; Mondal, Krishnendu; Sherpa, Mingma Thundu; Thakur, Nagendra</t>
  </si>
  <si>
    <t>Coexistence of Heavy Metal Tolerance and Antibiotic Resistance in Thermophilic Bacteria Belonging to Genus Geobacillus</t>
  </si>
  <si>
    <t>[Najar, Ishfaq Nabi; Das, Sayak; Kumar, Santosh; Sharma, Prayatna; Sherpa, Mingma Thundu; Thakur, Nagendra] Sikkim Univ, Dept Microbiol, Gangtok, India; [Mondal, Krishnendu] Vidyasagar Univ, Dept Microbiol, Midnapore, India</t>
  </si>
  <si>
    <t>Thakur, N (corresponding author), Sikkim Univ, Dept Microbiol, Gangtok, India.</t>
  </si>
  <si>
    <t>10.3389/fmicb.2022.914037</t>
  </si>
  <si>
    <t>Kar, S; Ghosh, S; Pal, T</t>
  </si>
  <si>
    <t>Kar, Sayani; Ghosh, Surajit; Pal, Tanusri</t>
  </si>
  <si>
    <t>MoS2-CdS composite for photocatalytic reduction of hexavalent chromium and thin film optoelectronic device applications</t>
  </si>
  <si>
    <t>ONE-POT SYNTHESIS; OPTICAL-PROPERTIES; CDS; NANOCOMPOSITES; REMOVAL; CR(VI)</t>
  </si>
  <si>
    <t>We introduce an enhanced light-harvesting MoS2-based nanocomposite exhibiting improved solar light induced photocurrent generation, both in solution and solid phases. The MoS2-CdS composite was synthesized via easy to achieve, cost effective, two-step solution process for the photocatalytic potassium dichromate [Cr(VI)] reduction and photocurrent generation in thin-film optoelectronic devices. Incorporating 10 wt% MoS2 into the composite increased the degradation efficiency of CdS from 43.9 to 91.9%. Furthermore, the MoS2-CdS composite demonstrated a 2.88-fold increase in the degradation rate constant and a 2.15% enhancement in the apparent quantum yield compared to controlled CdS. Additionally, the electrical power consumption per order decrease in Cr(VI) reduced from 25.74 kWh m(-3) for controlled CdS to 9 kWh m(-3) aimed at 10 wt% MoS2-CdS composite, indicating optimal synergy between the counterparts of MoS2-CdS in its composite. The resulting thin-film device with 10 wt% MoS2-CdS exhibited robust photocurrent generation and nonlinear I-V characteristics under solar illumination, attributed to the unique electronic properties of the MoS2-CdS heterojunction, influencing carrier transport via band alignment and interface carrier trapping effects. Moreover, photocurrent generation increased linearly with illumination intensity, and dynamic photo response studies revealed rapid photocurrent generation under illumination. Furthermore, the optoelectronic key parameters of CdS, including photosensitivity, photoresponsivity, and detectivity, were enhanced by factors of 5.09, 3.33, and 12.3, respectively, upon composite formation with MoS2. This study offers novel insights into developing high-performance and cost-effective bimetallic sulfide photocatalysts for efficient solar light-induced photocurrent generation in both solution and solid phases.</t>
  </si>
  <si>
    <t>[Kar, Sayani; Ghosh, Surajit] Vidyasagar Univ, Dept Phys, Optoelect Mat Lab, Midnapore 721102, India; [Pal, Tanusri] Midnapore Coll, Dept Phys, Midnapore 721101, India</t>
  </si>
  <si>
    <t>10.1038/s41598-024-69530-0</t>
  </si>
  <si>
    <t>Samanta, SS; Giri, S; Mandal, S; Mandal, U; Beg, H; Misra, A</t>
  </si>
  <si>
    <t>Samanta, Shashanka Shekhar; Giri, Subhadip; Mandal, Sourav; Mandal, Usha; Beg, Hasibul; Misra, Ajay</t>
  </si>
  <si>
    <t>A fluorescence based dual sensor for Zn2+ and PO43- and the application of soft computing methods to predict machine learning outcomes</t>
  </si>
  <si>
    <t>PHYSICAL CHEMISTRY CHEMICAL PHYSICS</t>
  </si>
  <si>
    <t>ZINC; CHEMOSENSOR; EMISSION; LOGIC; SPECTROMETRY; PHYSIOLOGY; SYSTEM</t>
  </si>
  <si>
    <t>A phenolphthalein-based Schiff base, 3,3-bis-{4-hydroxy-3-[(pyridine-2-ylmethylimino)-methyl]-phenyl}-3H-isobenzofuran-1-one (PAP), has been synthesized and used for selective fluorescence 'turn on' and 'turn off' sensing of Zn2+ and PO43- respectively. The limit of detection using the 3 sigma method for Zn2+ is found to be 19.3 nM and that for PO43- is 8.3 mu M. The sensing mechanism of PAP for Zn2+ ions has been explained by 1H NMR, 13C NMR, TRPL, ESI-MS, FT-IR, and DFT based calculations. Taking advantage of this fluorescence 'on-off' behavior of PAP in the sequential presence of Zn2+ and PO43- a two input fuzzy logic (FL) operation has been constructed. The chemosensor PAP can thus act as a metal ion and anion responsive molecular switch, and its corresponding emission intensity is used to mimic numerous FL functions. To replace various expensive, time-consuming experimental procedures, we implemented machine learning soft computing tools, such as fuzzy-logic, artificial neural networks (ANNs), and adaptive neuro-fuzzy inference systems (ANFIS), to correlate as well as predict the fluorescence intensity in the presence of any equivalent ratio of Zn2+ and PO43-. The statistical performance measures (MSE and RMSE, for example) show that the projected values of the cation and anion sensing data by the ANFIS network are the best and closer to the experimental values.</t>
  </si>
  <si>
    <t>[Samanta, Shashanka Shekhar; Giri, Subhadip; Mandal, Sourav; Mandal, Usha; Misra, Ajay] Vidyasagar Univ, Dept Chem, Midnapore 721102, West Bengal, India; [Beg, Hasibul] Raja NL Khan Womens Coll, Dept Chem, Midnapore 721102, India</t>
  </si>
  <si>
    <t>1463-9076</t>
  </si>
  <si>
    <t>1463-9084</t>
  </si>
  <si>
    <t>10.1039/d3cp05662g</t>
  </si>
  <si>
    <t>Chatterjee, T; Bhattacharjee, K; Das, RC</t>
  </si>
  <si>
    <t>Chatterjee, Tonmoy; Bhattacharjee, Kinkini; Das, Ramesh Chandra</t>
  </si>
  <si>
    <t>Long-run and Short-run Dynamic Linkages Among Capacity Utilization, Inflation and Per Capita Income: Theoretical and Empirical Enquiries for Panel of Countries</t>
  </si>
  <si>
    <t>Capacity utilization; inflation; panel cointegration; PCGDP</t>
  </si>
  <si>
    <t>UNIT-ROOT TESTS; COINTEGRATION; TIME; WAGE</t>
  </si>
  <si>
    <t>Traditional macroeconomic theory explains inflation as the result of excess demand surpassing the full employment level of supply. However, achieving full employment doesn't necessarily mean that the production system is operating at its maximum capacity. When production falls short of its potential, this underutilization is commonly observed in imperfect markets, and it can be one of the factors contributing to inflation. Additionally, excess capacity can have adverse effects on the overall economic system, potentially leading to lower income generation. In light of these considerations, this study develops a theoretical model that incorporates capacity utilization, inflation and per capita GDP (PCGDP) as the key indicators. It empirically investigates whether there are long-term associations and short-term dynamics among these variables in a panel of 28 countries (14 from developed and 14 from developing regions) over the period 2003-2019. The findings reveal that there are clear long-term relationships among the variables. In the short term, capacity utilization and PCGDP are found to influence inflation in the developed countries, but this relationship is not observed in developing countries. Conversely, PCGDP is influenced by capacity utilization and inflation rates in developing economies. Interestingly, there are no causal relationships observed in the panel of all the countries.</t>
  </si>
  <si>
    <t>[Chatterjee, Tonmoy] Bhairab Ganguly Coll, Dept Econ, Belghoria, W Bengal, India; [Bhattacharjee, Kinkini] Katwa Coll, Dept Commerce, Katwa, W Bengal, India; [Das, Ramesh Chandra] Vidyasagar Univ, Dept Econ, Midnapore, W Bengal, India; [Das, Ramesh Chandra] Vidyasagar Univ, Dept Econ, Midnapore 721102, W Bengal, India</t>
  </si>
  <si>
    <t>10.1177/09721509231219318</t>
  </si>
  <si>
    <t>Das, Rohit; Tamang, Buddhiman; Najar, Ishfaq Nabi; Thakur, Nagendra; Mondal, Krishnendu</t>
  </si>
  <si>
    <t>First report on metagenomics and their predictive functional analysis of fermented bamboo shoot food of Tripura, North East India</t>
  </si>
  <si>
    <t>[Das, Rohit; Tamang, Buddhiman; Najar, Ishfaq Nabi; Thakur, Nagendra] Sikkim Univ, Dept Microbiol, Gangtok, India; [Mondal, Krishnendu] Vidyasagar Univ, Dept Microbiol, Midnapore, India</t>
  </si>
  <si>
    <t>Tamang, B (corresponding author), Sikkim Univ, Dept Microbiol, Gangtok, India.</t>
  </si>
  <si>
    <t>APR 12</t>
  </si>
  <si>
    <t>10.3389/fmicb.2023.1158411</t>
  </si>
  <si>
    <t>gold, Green Accepted</t>
  </si>
  <si>
    <t>Sustainable production inventory management through bi-level greening performance in a three-echelon supply chain</t>
  </si>
  <si>
    <t>[Panja, Subrata; Mondal, Shyamal Kumar] Vidyasagar Univ, Dept Appl Math Oceanol &amp; Comp Programming, Midnapore 721102, West Bengal, India; [Panja, Subrata] Haldia Inst Technol, Sch Appl Sci &amp; Humanities, Haldia, India</t>
  </si>
  <si>
    <t>Panja, S (corresponding author), Vidyasagar Univ, Dept Appl Math Oceanol &amp; Comp Programming, Midnapore 721102, West Bengal, India.;Panja, S (corresponding author), Haldia Inst Technol, Sch Appl Sci &amp; Humanities, Haldia, India.</t>
  </si>
  <si>
    <t>10.1007/s12351-023-00763-z</t>
  </si>
  <si>
    <t>Some New Upper Bounds for the Y-Index of Graphs</t>
  </si>
  <si>
    <t>JOURNAL OF MATHEMATICS</t>
  </si>
  <si>
    <t>[Maji, Durbar; Ghorai, Ganesh] Vidyasagar Univ, Dept Appl Math Oceanol &amp; Comp Programming, Midnapore 721102, India; [Shami, Faria Ahmed] Bangabandhu Sheikh Mujibur Rahman Sci &amp; Technol U, Dept Math, Gopalganj, Bangladesh</t>
  </si>
  <si>
    <t>Vidyasagar University; Bangabandhu Sheikh Mujibur Rahman Science &amp; Technology University</t>
  </si>
  <si>
    <t>Shami, FA (corresponding author), Bangabandhu Sheikh Mujibur Rahman Sci &amp; Technol U, Dept Math, Gopalganj, Bangladesh.</t>
  </si>
  <si>
    <t>2314-4629</t>
  </si>
  <si>
    <t>2314-4785</t>
  </si>
  <si>
    <t>J MATH-UK</t>
  </si>
  <si>
    <t>J. Math.</t>
  </si>
  <si>
    <t>10.1155/2022/4346234</t>
  </si>
  <si>
    <t>Bera, B; Samanta, A; Karmakar, P</t>
  </si>
  <si>
    <t>Bera, Bubai; Samanta, Arabinda; Karmakar, Prakash</t>
  </si>
  <si>
    <t>Reproductive ecology of a threatened medicinal plant Canscora alata (Roth) Wall</t>
  </si>
  <si>
    <t>BRAZILIAN JOURNAL OF BOTANY</t>
  </si>
  <si>
    <t>Anisomorphic stamen; Delayed selfing; Floral biology; Gentianaceae; Paragus (Paragus); Self-compatible</t>
  </si>
  <si>
    <t>CROSS-FERTILIZATION; POLLINATION ECOLOGY; SELF-FERTILIZATION; BREEDING SYSTEMS; MATING-SYSTEM; INBREEDING DEPRESSION; FLORAL LONGEVITY; OVULE RATIOS; GENTIANACEAE; POLLEN</t>
  </si>
  <si>
    <t>Canscora alata (Roth) Wall. (Gentianaceae) commonly known as Shankhapushpi, is an annual herbaceous threatened medicinal plant distributed mainly in the understory of wild Sal (Shorea robusta Gaertn.) forest and demands immediate conservation measures, for which understanding of its reproductive ecology is important. We studied aspects of floral biology, reproductive phenology and the breeding systems of the plant species. While undertaking the experiments, it was found that the species is self-compatible with a greater capability of autonomous self-pollination and doesn't depend largely on pollinators for seed sets. However, geitonogamous and xenogamous modes of reproduction were observed. In natural habitat, visitors' frequency was extremely low, and most of the time they were absent. Outcrossing is rare, but it is occasionally facilitated by the fly, Paragus (Paragus) Latreille. We observed an open-close-reopen flowering rhythm during the anthesis of a flower. The mode of floral development clearly indicates that autonomous self-pollination is favored by the movement of stamens, styles, and stigmas during its open-close-reopen pattern of flowering. The plant also exhibits a larger anisomorphic stamen, orange in color. Even though the fail safe mechanism is an adaptive trait seen in outcrossing plant species, we have observed it here as well. The larger anisomorphic stamen helped to pollinate in order to ensure reproductive assurance through a delayed selfing mechanism; this is a rare occurrence in autogamous species. Despite self-compatibility, the ability to produce fruits and seeds through hand cross-pollination treatments implies that the plant species follow a selfing-outcrossing strategy to assure successful reproduction in its natural habitat. We hope these findings will be useful in strategic planning for the conservation of this plant species.</t>
  </si>
  <si>
    <t>[Bera, Bubai] Kashipur Michael Madhusudan Mahavidyalaya, Dept Bot, Purulia 723132, West Bengal, India; [Samanta, Arabinda] Jhargram Raj Coll, Dept Bot, Jhargram 721507, West Bengal, India; [Karmakar, Prakash] Vidyasagar Univ, Dept Bot &amp; Forestry, Palynol &amp; Plant Reproduct Biol Lab, Midnapore 721102, West Bengal, India</t>
  </si>
  <si>
    <t>Karmakar, P (corresponding author), Vidyasagar Univ, Dept Bot &amp; Forestry, Palynol &amp; Plant Reproduct Biol Lab, Midnapore 721102, West Bengal, India.</t>
  </si>
  <si>
    <t>SOC BOTANICA SAO PAULO</t>
  </si>
  <si>
    <t>SAO PAULO</t>
  </si>
  <si>
    <t>CAIXA POSTAL 57088, SAO PAULO, SP 00000, BRAZIL</t>
  </si>
  <si>
    <t>0100-8404</t>
  </si>
  <si>
    <t>1806-9959</t>
  </si>
  <si>
    <t>10.1007/s40415-024-00994-0</t>
  </si>
  <si>
    <t>Gayen, BK; Acharya, P; Dutta, D; Sreekesh, S</t>
  </si>
  <si>
    <t>Gayen, Bijoy Krishna; Acharya, Prasenjit; Dutta, Dipanwita; Sreekesh, S.</t>
  </si>
  <si>
    <t>Estimation of high-resolution aerosol optical depth (AOD) from Landsat and Sentinel images using SEMARA model over selected locations in South Asia</t>
  </si>
  <si>
    <t>ATMOSPHERIC RESEARCH</t>
  </si>
  <si>
    <t>High-resolution AOD; Aerosol retrieval model; Complex reflective surface; South Asia</t>
  </si>
  <si>
    <t>RETRIEVAL ALGORITHM SARA; ATMOSPHERIC CORRECTION; TROPOSPHERIC AEROSOL; AERONET; CLIMATOLOGY; NETWORK; IMPACT; REGION</t>
  </si>
  <si>
    <t>The study investigates a high-resolution retrieval of AOD over complex surfaces and various aerosol regimes of South Asian countries such as China, Bangladesh and Nepal from Landsat 7/8/9 and Sentinel 2 images. To estimate AOD from these satellite images, unlike the conventional radiative transfer-based look-up-table (LUT) approach, this study uses SEMARA coupled model which combines a simplified and robust surface reflection estimation (SREM) model and a simplified aerosol retrieval algorithm (SARA). The SEMARA model uses top-of-atmospheric reflectance (TOA) and land surface reflectance (LSR), solar and sensors viewing geometries, including the in-situ AOD data from the Aerosol Robotic Network (AERONET) station to simulate AOD at 30 m and 10 m spatial resolutions. The results are compared with AERONET and MODIS-based AOD for the validation sites in the South Asian countries. A high degree of agreement with AERONET AOD is obtained over Beijing in China (R-2 &gt; 0.9) for all sensors, while it varies for the validation AERONET stations over Nepal and Bangladesh (R-2 = 0.40-0.86). The accuracy metrices suggest a low uncertainty over China Mean Absolute Error (MAE) and Root Mean Square Error (RMSE) for Beijing: 0.07 and 0.13), while it remains higher for stations over Nepal and Bangladesh (MAE and RMSE: 0.33, and 0.41; 0.15-0.27, respectively). &gt;85% of the modelled observations fall within expected error (EE) for China, while 20-75% of observations fall within EE for Nepal and Bangladesh. We have also obtained a proximity effect for the accuracy of the estimated AOD from the SEMARA model. The findings, in general, suggest that the complexity in surface cover and aerosol type produce a higher offset with respect to AERONET observations over Bangladesh and Nepal, and therefore further validation studies are needed for other parts of the globe to measure the consistency of the model.</t>
  </si>
  <si>
    <t>[Gayen, Bijoy Krishna; Dutta, Dipanwita] Vidyasagar Univ, Dept Remote Sensing, Midnapore 721102, WB, India; [Acharya, Prasenjit] Vidyasagar Univ, Dept Geog, Midnapore 721102, WB, India; [Sreekesh, S.] Jawaharlal Nehru Univ, Ctr Study Reg Dev, New Delhi 110067, India</t>
  </si>
  <si>
    <t>Vidyasagar University; Vidyasagar University; Jawaharlal Nehru University, New Delhi</t>
  </si>
  <si>
    <t>Acharya, P (corresponding author), Vidyasagar Univ, Dept Geog, Midnapore 721102, WB, India.</t>
  </si>
  <si>
    <t>0169-8095</t>
  </si>
  <si>
    <t>1873-2895</t>
  </si>
  <si>
    <t>ATMOS RES</t>
  </si>
  <si>
    <t>Atmos. Res.</t>
  </si>
  <si>
    <t>10.1016/j.atmosres.2023.107141</t>
  </si>
  <si>
    <t>Basu, Anirban; Sing, Shukdeb; Das, Arindam; Jana, Gouranga; Samai, Boby</t>
  </si>
  <si>
    <t>Interaction and inhibition of lysozyme amyloid fibrillation by benzophenanthridine alkaloid sanguinarine: Photophysical, molecular docking and imaging studies</t>
  </si>
  <si>
    <t>[Basu, Anirban; Sing, Shukdeb; Das, Arindam; Jana, Gouranga] Vidyasagar Univ, Dept Chem, Midnapore 721102, India; [Samai, Boby] Hooghly Inst Technol, Dept Sci &amp; Humanities, Hooghly 712103, India</t>
  </si>
  <si>
    <t>10.1016/j.jphotochem.2023.114996</t>
  </si>
  <si>
    <t>Patwari, Biswajit; Nandi, Utpal; Ghosal, Sudipta Kr</t>
  </si>
  <si>
    <t>Image steganography based on difference of Gaussians edge detection</t>
  </si>
  <si>
    <t>[Patwari, Biswajit] Panihati Mahavidyalaya, Dept Comp Sci, Barasat Rd,PO Sodepur, Kolkata 700110, West Bengal, India; [Nandi, Utpal] Vidyasagar Univ, Dept Comp Sci, Midnapore 721102, West Bengal, India; [Ghosal, Sudipta Kr] Behala Govt Polytech, Dept Cyber Forens &amp; Informat Secur, 756 Upendra Nath Banerjee Rd, Kolkata 700060, India</t>
  </si>
  <si>
    <t>Ghosal, SK (corresponding author), Behala Govt Polytech, Dept Cyber Forens &amp; Informat Secur, 756 Upendra Nath Banerjee Rd, Kolkata 700060, India.</t>
  </si>
  <si>
    <t>10.1007/s11042-023-15360-7</t>
  </si>
  <si>
    <t>Giri, Pravash Kumar; Maiti, Manas Kumar; Maiti, Manoranjan</t>
  </si>
  <si>
    <t>Profit maximization fuzzy 4D-TP with budget constraint for breakable substitute items: a swarm based optimization approach</t>
  </si>
  <si>
    <t>[Giri, Pravash Kumar] Govt Gen Degree Coll, Dept Math, Dantan 2, Paschim Medinipur 721445, WB, India; [Maiti, Manas Kumar] Mahishadal Raj Coll, Dept Math, Purba Medinipur 721628, WB, India; [Maiti, Manoranjan] Vidyasagar Univ, Dept Appl Math Oceanol &amp; Comp Programming, Paschim Medinipur 721102, WB, India</t>
  </si>
  <si>
    <t>Giri, PK (corresponding author), Govt Gen Degree Coll, Dept Math, Dantan 2, Paschim Medinipur 721445, WB, India.</t>
  </si>
  <si>
    <t>10.1007/s12597-023-00621-8</t>
  </si>
  <si>
    <t>Sahoo, Sumita; Dash, Satyabrata; Rath, Biswajit; Mondal, Keshab C. C.; Mandal, Arpita</t>
  </si>
  <si>
    <t>Commercial Initiation of Feather Hydrolysate as Supreme Fertilizer: A Smart Bio-Cleaning Strategy of Poultry Waste</t>
  </si>
  <si>
    <t>WASTE AND BIOMASS VALORIZATION</t>
  </si>
  <si>
    <t>[Sahoo, Sumita; Dash, Satyabrata; Rath, Biswajit] Maharaja Sriram Chandra Bhanja Deo Univ, Dept Biotechnol, Baripada 757003, Odissa, India; [Sahoo, Sumita; Mandal, Arpita] Asutosh Coll, Dept Microbiol, Kolkata 700026, W Bengal, India; [Mondal, Keshab C. C.] Vidyasagar Univ, Dept Microbiol, Midnapore 721102, W Bengal, India</t>
  </si>
  <si>
    <t>Mandal, A (corresponding author), Asutosh Coll, Dept Microbiol, Kolkata 700026, W Bengal, India.</t>
  </si>
  <si>
    <t>1877-2641</t>
  </si>
  <si>
    <t>1877-265X</t>
  </si>
  <si>
    <t>10.1007/s12649-022-01982-9</t>
  </si>
  <si>
    <t>Bala, Susmita; Reddy, P. Soni; Mondal, Rahul; Sarkar, Partha Pratim; Sarkar, Sushanta</t>
  </si>
  <si>
    <t>Printed Monopole Antenna with Tree-Like Radiating Patch and Flower Vase-Shaped Modified Ground Plane Useful for Wideband Applications</t>
  </si>
  <si>
    <t>JOURNAL OF ELECTROMAGNETIC ENGINEERING AND SCIENCE</t>
  </si>
  <si>
    <t>[Bala, Susmita] Vidyasagar Univ, Dept Elect, Midnapore, W Bengal, India; [Reddy, P. Soni; Mondal, Rahul; Sarkar, Partha Pratim; Sarkar, Sushanta] Kalyani Univ, Dept Engn &amp; Technol Studies DETS, Kalyani, W Bengal, India</t>
  </si>
  <si>
    <t>KOREAN INST ELECTROMAGNETIC ENGINEERING &amp; SCIENCE</t>
  </si>
  <si>
    <t>706 TOTOO VALLEY, 217 SAECHANG-RO, YONG-SAN-GU, SEOUL, 04376, SOUTH KOREA</t>
  </si>
  <si>
    <t>2671-7255</t>
  </si>
  <si>
    <t>2671-7263</t>
  </si>
  <si>
    <t>10.26866/jees.2022.3.r.85</t>
  </si>
  <si>
    <t>Shounda, Jayanta; Barman, Krishnendu; Roy, Sayahnya; Debnath, Koustuv</t>
  </si>
  <si>
    <t>Spatial-averaged turbulence statistics over regular arrays of hemispherical roughness</t>
  </si>
  <si>
    <t>JOURNAL OF THE BRAZILIAN SOCIETY OF MECHANICAL SCIENCES AND ENGINEERING</t>
  </si>
  <si>
    <t>[Shounda, Jayanta; Barman, Krishnendu] Vidyasagar Univ, Dept Appl Math Oceanol &amp; Comp Programming, Midnapore 721102, India; [Roy, Sayahnya; Debnath, Koustuv] Indian Inst Engn Sci &amp; Technol IIEST, Dept Aerosp Engn &amp; Appl Mech, Sibpur 711103, India</t>
  </si>
  <si>
    <t>1678-5878</t>
  </si>
  <si>
    <t>1806-3691</t>
  </si>
  <si>
    <t>10.1007/s40430-022-03432-y</t>
  </si>
  <si>
    <t>Engineering, Mechanical</t>
  </si>
  <si>
    <t>Chakraborty, H; Chakraborty, HJ; Das, BK; Maity, J</t>
  </si>
  <si>
    <t>Chakraborty, Hena; Chakraborty, Hirak Jyoti; Das, Basanta Kumar; Maity, Joydev</t>
  </si>
  <si>
    <t>Age-specific changes in the serum proteome of female anadromous, hilsa Tenualosa ilisha: a comparative analysis across developmental stages</t>
  </si>
  <si>
    <t>FRONTIERS IN IMMUNOLOGY</t>
  </si>
  <si>
    <t>hilsa; proteomics; protein; STRING; Liquid Chromatography-tandem Mass Spectrometry; network analysis; Kyoto Encyclopedia of Genes and Genomes</t>
  </si>
  <si>
    <t>PLASMA PROTEOME; SHAD; INNATE; MUSCLE; TOOL; VISUALIZATION; SALMONIS; TROUT</t>
  </si>
  <si>
    <t>Introduction The proteome profile of the female Tenualosa ilisha (Hamilton, 1822), a species of great ecological and economic importance, across various age groups was investigated to comprehend the functional dynamics of the serum proteome for conservation and aquaculture, as well as sustain the population.Methods Advanced liquid chromatography-tandem mass spectrometry LC-MS/MS-based proteomic data were analysed and submitted to the ProteomeXchange Consortium via PRIDE (PRoteomics IDEntifications database). Bioinformatics analysis of serum proteome have been done and it showed different proteins associated with GO Gene Ontology () terms, and the genes associated with enriched KEGG (Kyoto Encyclopedia of Genes and Genomes) pathways (such as phagosome, mTOR, Apelin signalling pathways, herpes simplex virus) implicated in immune responses.Results The expression levels of important immunological proteins, such as those involved in cellular defence and inflammatory responses, were significantly different age-dependently. In this study, we annotated 952, 494, 415, and 282 proteins in year classes IV, III, II, and I Hilsa, respectively, and analysed their Protein-Protein Interaction (PPI) networks based on their functional characteristics. From year classes I to IV, new proteins appeared and were more than three-fold. Notably, class I hilsa displayed a lower abundance of proteins than class IV hilsa.Discussion This is the first study, to the best of our knowledge, to report the analysis of the serum proteome of hilsa at different developmental stages, and the results can help improve the understanding of the mechanisms underlying the different changes in protein enrichment during migration in hilsa. This analysis also offers crucial insights into the immune system for hilsa conservation and management.</t>
  </si>
  <si>
    <t>[Chakraborty, Hena; Chakraborty, Hirak Jyoti; Das, Basanta Kumar] Indian Council Agr Res ICAR, Cent Inland Fisheries Res Inst, Ctr NMCG Nat Mission Clean Ganga, Barakpur, West Bengal, India; [Chakraborty, Hena; Maity, Joydev] Vidyasagar Univ, Dept Fisheries Sci, Midnapore, West Bengal, India</t>
  </si>
  <si>
    <t>Indian Council of Agricultural Research (ICAR); ICAR - Central Inland Fisheries Research Institute; Vidyasagar University</t>
  </si>
  <si>
    <t>Das, BK (corresponding author), Indian Council Agr Res ICAR, Cent Inland Fisheries Res Inst, Ctr NMCG Nat Mission Clean Ganga, Barakpur, West Bengal, India.</t>
  </si>
  <si>
    <t>1664-3224</t>
  </si>
  <si>
    <t>10.3389/fimmu.2024.1448627</t>
  </si>
  <si>
    <t>Immunology</t>
  </si>
  <si>
    <t>Ghosh, Pritam; Bose, Kaushik; Rohatgi, Pratima</t>
  </si>
  <si>
    <t>Prevalence and Determinants of Anaemia Among Under-Five Children in West Bengal: An Insight from the National Family Health Survey 2015-2016</t>
  </si>
  <si>
    <t>GLOBAL SOCIAL WELFARE</t>
  </si>
  <si>
    <t>[Ghosh, Pritam] Ramsaday Coll, Dept Geog, Howrah 711401, West Bengal, India; [Bose, Kaushik] Vidyasagar Univ, Dept Anthropol, Midnapore, West Bengal, India; [Rohatgi, Pratima] Univ Calcutta, Dept Geog, 35 Ballygunge Circular Rd, Kolkata 700019, West Bengal, India</t>
  </si>
  <si>
    <t>Vidyasagar University; University of Calcutta</t>
  </si>
  <si>
    <t>Ghosh, P (corresponding author), Ramsaday Coll, Dept Geog, Howrah 711401, West Bengal, India.</t>
  </si>
  <si>
    <t>2196-8799</t>
  </si>
  <si>
    <t>10.1007/s40609-023-00299-2</t>
  </si>
  <si>
    <t>Three-way decision model under a large-scale group decision-making environment with detecting and managing non-cooperative behaviors in consensus reaching process</t>
  </si>
  <si>
    <t>[Mandal, Prasenjit; Pal, Madhumangal] Vidyasagar Univ, Dept Appl Math Oceanol &amp; Comp Programming, Midnapore 721102, W Bengal, India; [Samanta, Sovan] Tamralipta Mahavidyalaya, Dept Math, Tamluk 721636, W Bengal, India; [Ranadive, A. S.] Guru Ghasidas Univ, Dept Pure &amp; Appl Math, Bilaspur, Chhattisgarh, India</t>
  </si>
  <si>
    <t>10.1007/s10462-021-10133-w</t>
  </si>
  <si>
    <t>Hansda, B.; Mahato, G.; Bera, A.; Banerjee, N.</t>
  </si>
  <si>
    <t>Identification And Characterization Of Phenolic Compounds In Root Extract Of Two Ethnomedicinal Plants Curculigo Orchioides And Asparagus Racemosus</t>
  </si>
  <si>
    <t>INTERNATIONAL JOURNAL OF LIFE SCIENCE AND PHARMA RESEARCH</t>
  </si>
  <si>
    <t>[Hansda, B.] Narajole Raj Coll, Fac Bot, Paschim Medinipur 721211, W Bengal, India; [Mahato, G.] Achhruram Mem Coll, Fac Bot, Purulia 723202, W Bengal, India; [Bera, A.] Vidyasagar Univ, Dept Bot, Midnapore 721102, W Bengal, India; [Banerjee, N.] Vidysagar Univ, Dept Bot, Midnapore 721102, W Bengal, India</t>
  </si>
  <si>
    <t>Banerjee, N (corresponding author), Vidysagar Univ, Dept Bot, Midnapore 721102, W Bengal, India.</t>
  </si>
  <si>
    <t>INT JOURNAL LIFESCIENCE &amp; PHARMA RESEARCH</t>
  </si>
  <si>
    <t>TAMILNADU</t>
  </si>
  <si>
    <t>PLOT NO 10, 2 MAIN RD, RENGA NAGAR NEAR TO OLD ALPHA SCH, SATHANOOR MAIN RD, TIRUCHIRAPALLI, TAMILNADU, INDIA</t>
  </si>
  <si>
    <t>2250-0480</t>
  </si>
  <si>
    <t>10.22376/ijpbs/lpr.2022.12.1.L138-147</t>
  </si>
  <si>
    <t>Chemistry, Medicinal</t>
  </si>
  <si>
    <t>Mitra, S; Mitra, M; Saha, M; Nandi, DK</t>
  </si>
  <si>
    <t>Mitra, Sudeep; Mitra, Mousumi; Saha, Mantu; Nandi, Dilip Kumar</t>
  </si>
  <si>
    <t>Yoga for Psychophysiological Wellbeing during Menstrual Phases in Eumenorrheic Females</t>
  </si>
  <si>
    <t>APPLIED PSYCHOPHYSIOLOGY AND BIOFEEDBACK</t>
  </si>
  <si>
    <t>Eumenorrheic females; Menstrual cycle; Yoga; Heart rate variability; Physical fitness; Psychophysiological well-being</t>
  </si>
  <si>
    <t>HEART-RATE-VARIABILITY; PRIMARY DYSMENORRHEA; ORAL-CONTRACEPTIVES; EXERCISE; CYCLE; MINDFULNESS; PERFORMANCE; STRENGTH; IMPACT; WOMEN</t>
  </si>
  <si>
    <t>Hormonal shifts during the menstrual cycle (MC) cause autonomic imbalances and psycho-physiological distress in eumenorrheic females. This present study reveals that yoga proactively improves the overall psychophysiological health and wellness in eumenorrheic female college students during different phases of MC. Healthy eumenorrheic female college students (Mage= 20.11 +/- 5.39 years, n = 82) were randomized to a control and yoga group (n = 41). A well-conceptualized yoga module (CYM) for 5 days/week for 3 months (1 h daily in the morning) was practiced by the yoga group volunteers. Intra and intergroup comparisons were performed for the estimation of mindfulness awareness scale (MAAS), menstrual distress questionnaire (MDQ), cardiometabolic risk factors, heart rate variability (HRV), and endurance fitness during the luteal (LP) and follicular (FP) phases. Psychophysiological discomforts before CYM practice were mostly observed during LP compared to FP due to significant changes in mindfulness, pain, concentration, autonomic reactivity, negative affect, double product (DoP), rate pressure product (RPP), and HRV values. CYM practice influenced HRV parameters for an increase in parasympathetic activity and a decrease in sympathetic balance for better cardiac-autonomic functioning, with significant improvement in maximal oxygen consumption (VO2max) and physical work capacity (PWC170). Accordingly, MAAS and MDQ scores also improved significantly after yogic practice. The intra-group and inter-group significant improvements in psychophysiological parameters through CYM practice are relevant in eumenorrheic females to perform effectively throughout their MC period, by improving MC distress and sympathovagal (LF/HF) balance.</t>
  </si>
  <si>
    <t>[Mitra, Sudeep; Mitra, Mousumi; Nandi, Dilip Kumar] Vidyasagar Univ, Raja Narendralal Khan Womens Coll Autonomous, Dept Human Physiol, Dept BMLT,Lab Human Performance, Midnapore 721102, West Bengal, India; [Saha, Mantu] Def Inst Physiol &amp; Allied Sci DIPAS, Def Res &amp; Dev Org DRDO, Exercise Physiol &amp; Yoga Lab, Lucknow Rd, Timarpur 110054, Delhi, India</t>
  </si>
  <si>
    <t>Vidyasagar University; Defence Research &amp; Development Organisation (DRDO); Defence Institute of Physiology &amp; Allied Sciences (DIPAS)</t>
  </si>
  <si>
    <t>Nandi, DK (corresponding author), Vidyasagar Univ, Raja Narendralal Khan Womens Coll Autonomous, Dept Human Physiol, Dept BMLT,Lab Human Performance, Midnapore 721102, West Bengal, India.</t>
  </si>
  <si>
    <t>1090-0586</t>
  </si>
  <si>
    <t>1573-3270</t>
  </si>
  <si>
    <t>10.1007/s10484-024-09678-7</t>
  </si>
  <si>
    <t>Psychology, Clinical</t>
  </si>
  <si>
    <t>Interstate Disparity in Combating COVID-19 in India: Efficiency Estimate Across States</t>
  </si>
  <si>
    <t>JOURNAL OF HEALTH MANAGEMENT</t>
  </si>
  <si>
    <t>COVID-19; efficiency; stochastic frontier analysis; inefficiency effects; India</t>
  </si>
  <si>
    <t>MIGRATION; 2019-NCOV; SPREAD</t>
  </si>
  <si>
    <t>Currently, COVID-19 is the most lethal menace in the world. Due to its health and economic consequences, it becomes a serious challenge for the economy. The present article aims to explore India's interstate disparities of efficiency in combating COVID-19 based on secondary data. Besides, an attempt has been made to pinpoint the factors responsible for the inefficiency of resisting this deadly virus. The interstate efficiency measurement is facilitated by applying stochastic production frontier analysis. The empirical result divulges that among the Indian states, Bihar is the most efficient in combating COVID-19. The empirical estimation of the frontier model discloses that the number of doctors, nurses, police force, isolation beds and hotspots positively and significantly influence the recovery rate from COVID-19 in Indian states. The empirical results of the inefficiency effects model suggest that the share of elderly and urbanisation reversely influence the efficiency in combating the virus, while favourable sex ratio, literacy rate, regular salaried employment, digitalisation and ruralisation stimulate the efficiency of the concerned state. The study concludes that efficient utilisation, coupled with the advancement of the existing health infrastructure, is imperative for the acceleration of the recovery rate from this pandemic.</t>
  </si>
  <si>
    <t>[Maity, Shrabanti] Vidyasagar Univ, Dept Econ, Midnapore 721102, West Bengal, India; [Sinha, Anup] Assam Univ, Dept Econ, Silchar, Assam, India; [Sinha, Anup] Karimganj Coll, Dept Commerce, Karimganj, Assam, India</t>
  </si>
  <si>
    <t>Maity, S (corresponding author), Vidyasagar Univ, Dept Econ, Midnapore 721102, West Bengal, India.</t>
  </si>
  <si>
    <t>0972-0634</t>
  </si>
  <si>
    <t>0973-0729</t>
  </si>
  <si>
    <t>10.1177/09720634241244428</t>
  </si>
  <si>
    <t>Muhiuddin, Ghulam; Alenazi, Bashair M.; Mahapatra, Tanmoy; Pal, Madhumangal; Pal, Madhumangal</t>
  </si>
  <si>
    <t>Utilizing m-Polar Fuzzy Saturation Graphs for Optimized Allocation Problem Solutions</t>
  </si>
  <si>
    <t>[Muhiuddin, Ghulam; Alenazi, Bashair M.] Univ Tabuk, Fac Sci, Dept Math, POB 741, Tabuk 71491, Saudi Arabia; [Mahapatra, Tanmoy; Pal, Madhumangal; Pal, Madhumangal] Vidyasagar Univ, Dept Appl Math Oceanol &amp; Comp Programming, Midnapore 721102, India</t>
  </si>
  <si>
    <t>University of Tabuk; Vidyasagar University</t>
  </si>
  <si>
    <t>Muhiuddin, G (corresponding author), Univ Tabuk, Fac Sci, Dept Math, POB 741, Tabuk 71491, Saudi Arabia.</t>
  </si>
  <si>
    <t>10.3390/math11194136</t>
  </si>
  <si>
    <t>Patra, Ashoke Kumar; Halder, Dibakar; Roy, Anik; Kundu, Somenath; Hossain, Maidul; Saha, Rajat; Saha, Indrajit</t>
  </si>
  <si>
    <t>Carbazole diester strapped calix[4]pyrrole: Synthesis, anion binding and self-assembly based on ion pair recognition</t>
  </si>
  <si>
    <t>JOURNAL OF MOLECULAR STRUCTURE</t>
  </si>
  <si>
    <t>[Patra, Ashoke Kumar; Halder, Dibakar; Roy, Anik; Saha, Indrajit] Ramakrishna Mission Residential Coll Autonomous, Dept Chem, Kolkata 700103, India; [Kundu, Somenath; Hossain, Maidul] Vidyasagar Univ, Dept Chem, Midnapore 721102, India; [Saha, Rajat] Kazi Nazrul Univ, Dept Chem, Asansol 713340, India</t>
  </si>
  <si>
    <t>Saha, I (corresponding author), Ramakrishna Mission Residential Coll Autonomous, Dept Chem, Kolkata 700103, India.;Hossain, M (corresponding author), Vidyasagar Univ, Dept Chem, Midnapore 721102, India.;Saha, R (corresponding author), Kazi Nazrul Univ, Dept Chem, Asansol 713340, India.</t>
  </si>
  <si>
    <t>0022-2860</t>
  </si>
  <si>
    <t>1872-8014</t>
  </si>
  <si>
    <t>J MOL STRUCT</t>
  </si>
  <si>
    <t>J. Mol. Struct.</t>
  </si>
  <si>
    <t>10.1016/j.molstruc.2023.136210</t>
  </si>
  <si>
    <t>Biswas, Debasish; Manna, Atanu; Pahari, Subhajit</t>
  </si>
  <si>
    <t>Technology Management (TM) on Corporate Sustainability Performance (CSP): The Moderating Role of Total Quality Management (TQM)</t>
  </si>
  <si>
    <t>FIIB BUSINESS REVIEW</t>
  </si>
  <si>
    <t>[Biswas, Debasish] Vidyasagar Univ, Dept Business Adm, Midnapore, W Bengal, India; [Manna, Atanu] Vidyasagar Univ, Ctr Environm Studies, Midnapore, W Bengal, India; [Pahari, Subhajit] Constituent Symbiosis Int Deemed Univ, Symbiosis Ctr Management Studies, Pune, Maharashtra, India; [Pahari, Subhajit] Constituent Symbiosis Int Deemed Univ, Symbiosis Ctr Management Studies, Pune 440008, Maharashtra, India</t>
  </si>
  <si>
    <t>Vidyasagar University; Vidyasagar University; Symbiosis International University; Symbiosis Centre for Management Studies Pune; Symbiosis International University; Symbiosis Centre for Management Studies Pune</t>
  </si>
  <si>
    <t>Pahari, S (corresponding author), Constituent Symbiosis Int Deemed Univ, Symbiosis Ctr Management Studies, Pune 440008, Maharashtra, India.</t>
  </si>
  <si>
    <t>2319-7145</t>
  </si>
  <si>
    <t>2455-2658</t>
  </si>
  <si>
    <t>FIIB BUS REV</t>
  </si>
  <si>
    <t>FIIB Bus. Rev.</t>
  </si>
  <si>
    <t>10.1177/23197145231168726</t>
  </si>
  <si>
    <t>Roy, Arindam; Acharya, Prasenjit</t>
  </si>
  <si>
    <t>Energy inequality and air pollution nexus in India</t>
  </si>
  <si>
    <t>SCIENCE OF THE TOTAL ENVIRONMENT</t>
  </si>
  <si>
    <t>[Roy, Arindam] Ecole Polytech Fed Lausanne, Lab Atmospher Proc &amp; Their Impact, Lausanne, Switzerland; [Acharya, Prasenjit] Vidyasagar Univ, Dept Geog, Midnapore, India</t>
  </si>
  <si>
    <t>Swiss Federal Institutes of Technology Domain; Ecole Polytechnique Federale de Lausanne; Vidyasagar University</t>
  </si>
  <si>
    <t>Roy, A (corresponding author), Ecole Polytech Fed Lausanne, Lab Atmospher Proc &amp; Their Impact, Lausanne, Switzerland.</t>
  </si>
  <si>
    <t>0048-9697</t>
  </si>
  <si>
    <t>1879-1026</t>
  </si>
  <si>
    <t>SCI TOTAL ENVIRON</t>
  </si>
  <si>
    <t>Sci. Total Environ.</t>
  </si>
  <si>
    <t>10.1016/j.scitotenv.2023.162805</t>
  </si>
  <si>
    <t>Bhattacharyya, Manjishtha; Shee, Nirmalya; Paria, Santu; Chakraborty, Susanta Kumar; Acharya, Sankar Kumar</t>
  </si>
  <si>
    <t>Estimating disturbance in a tropical forested habitat using a modified ecological disturbance index with rank-order weights of criteria</t>
  </si>
  <si>
    <t>COGENT FOOD &amp; AGRICULTURE</t>
  </si>
  <si>
    <t>[Bhattacharyya, Manjishtha; Paria, Santu; Chakraborty, Susanta Kumar] Vidyasagar Univ, Dept Zool, Midnapore 721102, W Bengal, India; [Shee, Nirmalya] Darjeeling Govt Coll, Dept Zool, Darjeeling, India; [Acharya, Sankar Kumar] Bidhan Chandra Krishi Viswavidyalay, Dept Agr Extens, Mohanpur, India</t>
  </si>
  <si>
    <t>Vidyasagar University; Bidhan Chandra Agricultural University</t>
  </si>
  <si>
    <t>Bhattacharyya, M (corresponding author), Vidyasagar Univ, Dept Zool, Midnapore 721102, W Bengal, India.</t>
  </si>
  <si>
    <t>2331-1932</t>
  </si>
  <si>
    <t>10.1080/23311932.2022.2132846</t>
  </si>
  <si>
    <t>Das, S.; Banu, A. S.; Jana, R. N.; Makinde, O. D.</t>
  </si>
  <si>
    <t>Hall Current's Impact on Ionized Ethylene Glycol Containing Metal Nanoparticles Flowing Through Vertical Permeable Channel</t>
  </si>
  <si>
    <t>JOURNAL OF NANOFLUIDS</t>
  </si>
  <si>
    <t>[Das, S.; Banu, A. S.] Univ Gour Banga, Dept Math, Malda 732103, India; [Jana, R. N.] Vidyasagar Univ, Dept Appl Math, Midnapore 721102, India; [Makinde, O. D.] Stellenbosch Univ, Fac Mil Sci, ZA-7395 Saldanha, South Africa</t>
  </si>
  <si>
    <t>AMER SCIENTIFIC PUBLISHERS</t>
  </si>
  <si>
    <t>VALENCIA</t>
  </si>
  <si>
    <t>26650 THE OLD RD, STE 208, VALENCIA, CA 91381-0751 USA</t>
  </si>
  <si>
    <t>2169-432X</t>
  </si>
  <si>
    <t>2169-4338</t>
  </si>
  <si>
    <t>10.1166/jon.2022.1842</t>
  </si>
  <si>
    <t>Roy, T; Rath, B; Asad, J; Maiti, DK; Mallick, P; Jarrar, R</t>
  </si>
  <si>
    <t>Roy, Tapas; Rath, Biswanath; Asad, Jihad; Maiti, Dilip K.; Mallick, Pravanjan; Jarrar, Rabab</t>
  </si>
  <si>
    <t>Nonlinear oscillators dynamics using optimal and modified homotopy perturbation method</t>
  </si>
  <si>
    <t>JOURNAL OF LOW FREQUENCY NOISE VIBRATION AND ACTIVE CONTROL</t>
  </si>
  <si>
    <t>Optimal homotopy perturbation method; series solution; analytical solution; oscillators</t>
  </si>
  <si>
    <t>VARIATIONAL ITERATION METHOD; POL OSCILLATOR; VAN; TRANSFORM; ELEMENT; SYSTEMS</t>
  </si>
  <si>
    <t>This study investigates the several strongly nonlinear oscillators (Van der Pol, Duffing and Rayleigh) for which we have applied the most powerful and advanced optimal semi-analytical technique: optimal and modified homotopy perturbation method (OM-HPM) for the convergent semi-analytical series solution. The numerical simulation demonstrates the high accuracy of the OM-HPM, which is straightforward, does not require any domain decomposition, special transformation, or pade approximations to get the convergent series solution. The key features for the high accuracy of the OM-HPM lies on the best optimal auxiliary linear operator. Therefore, OM-HPM offering a valuable tool for engineers and researcher to analyze the complex nonlinear oscillator.</t>
  </si>
  <si>
    <t>[Roy, Tapas; Maiti, Dilip K.] Vidyasagar Univ, Dept Appl Math, Midnapore, WB, India; [Rath, Biswanath; Mallick, Pravanjan] Maharaja Sriram Chandra Bhanja Deo Univ, Dept Phys, Baripada, Odisha, India; [Asad, Jihad; Jarrar, Rabab] Palestine Tech Univ Kadoorie, Fac Appl Sci, Dept Phys, P-305 Tulkarm, Palestine</t>
  </si>
  <si>
    <t>Vidyasagar University; Palestine Technical University - Kadoorie</t>
  </si>
  <si>
    <t>Asad, J (corresponding author), Palestine Tech Univ Kadoorie, Fac Appl Sci, Dept Phys, P-305 Tulkarm, Palestine.</t>
  </si>
  <si>
    <t>1461-3484</t>
  </si>
  <si>
    <t>2048-4046</t>
  </si>
  <si>
    <t>10.1177/14613484241272253</t>
  </si>
  <si>
    <t>Acoustics</t>
  </si>
  <si>
    <t>Baidya, Abhijit; Bera, Uttam Kumar; Maiti, Manoranjan</t>
  </si>
  <si>
    <t>A Restricted Multi-Objective Solid Transportation Problem with Budget Constraint Involving Stochastic Variable and Interval Type-2 Fuzzy Number</t>
  </si>
  <si>
    <t>[Baidya, Abhijit; Bera, Uttam Kumar] Natl Inst Technol Agartala, Dept Math, Jirania 799055, West Tripura, India; [Maiti, Manoranjan] Vidyasagar Univ, Dept Appl Math Oceanol &amp; Comp Programming, Midnapore 721102, WB, India</t>
  </si>
  <si>
    <t>National Institute of Technology (NIT System); National Institute of Technology Agartala; Vidyasagar University</t>
  </si>
  <si>
    <t>Baidya, A (corresponding author), Natl Inst Technol Agartala, Dept Math, Jirania 799055, West Tripura, India.</t>
  </si>
  <si>
    <t>10.1142/S1793005722500363</t>
  </si>
  <si>
    <t>Adhikari, Sinchan; Biswas, Arijit; Saha, Soumen; Bandyopadhyay, Tapas K.; Ghosh, Parthadeb</t>
  </si>
  <si>
    <t>Preparation and properties of Cu/RGO composites via H2 reduction and spark plasma sintering</t>
  </si>
  <si>
    <t>JOURNAL OF APPLIED RESEARCH ON MEDICINAL AND AROMATIC PLANTS</t>
  </si>
  <si>
    <t>[Adhikari, Sinchan; Ghosh, Parthadeb] Univ Kalyani, Dept Bot, Kalyani 741235, W Bengal, India; [Biswas, Arijit] Vidyasagar Univ, Dept Biotechnol, Medinipur 721102, W Bengal, India; [Saha, Soumen] Raiganj Univ, Dept Sericulture, Raiganj 733134, W Bengal, India; [Bandyopadhyay, Tapas K.] Univ Kalyani, Dept Mol Biol &amp; Biotechnol, Kalyani 741235, W Bengal, India</t>
  </si>
  <si>
    <t>Kalyani University; Vidyasagar University; Kalyani University</t>
  </si>
  <si>
    <t>Ghosh, P (corresponding author), Univ Kalyani, Dept Bot, Kalyani 741235, W Bengal, India.</t>
  </si>
  <si>
    <t>2214-7861</t>
  </si>
  <si>
    <t>10.1016/j.jarmap.2022.100372</t>
  </si>
  <si>
    <t>Das, Narasingha; Bera, Pinki; Panda, Deepak</t>
  </si>
  <si>
    <t>Can economic development &amp; environmental sustainability promote renewable energy consumption in India?? Findings from novel dynamic ARDL simulations approach</t>
  </si>
  <si>
    <t>RENEWABLE ENERGY</t>
  </si>
  <si>
    <t>[Das, Narasingha; Panda, Deepak] Indian Inst Technol Kharagpur, Kharagpur, W Bengal, India; [Bera, Pinki] Vidyasagra Univ, Midnapore, India</t>
  </si>
  <si>
    <t>Indian Institute of Technology System (IIT System); Indian Institute of Technology (IIT) - Kharagpur; Vidyasagar University</t>
  </si>
  <si>
    <t>Das, N (corresponding author), Indian Inst Technol Kharagpur, Kharagpur, W Bengal, India.</t>
  </si>
  <si>
    <t>0960-1481</t>
  </si>
  <si>
    <t>1879-0682</t>
  </si>
  <si>
    <t>10.1016/j.renene.2022.02.116</t>
  </si>
  <si>
    <t>Green &amp; Sustainable Science &amp; Technology; Energy &amp; Fuels</t>
  </si>
  <si>
    <t>Science &amp; Technology - Other Topics; Energy &amp; Fuels</t>
  </si>
  <si>
    <t>Roy, S; Sahu, NB</t>
  </si>
  <si>
    <t>Roy, Sanraj; Sahu, Nivedita Bhattacharyya</t>
  </si>
  <si>
    <t>Content Analysis of Library Websites of the Centre with Potential for Excellence in Particular Area (CPEPA) Universities</t>
  </si>
  <si>
    <t>Centre with Potential for Excellence in Particular Area (CPEPA); Content analysis; Library website; University library; Web 2.0 service</t>
  </si>
  <si>
    <t>Libraries are taking a quintessential position in accumulating and disseminating fact offerings via library websites. The websites portray the library collection, library services, social networking sites, and web 2.0 tools used in the libraries. This study aims to evaluate the seventeen library website features of the Centre with Potential for Excellence in Particular Area (CPEPA) universities by identifying them through previous literature and consulting the checklist. Individual websites of the CPEPA Universities are consulted for the study. It helps users collect more information about those institutions. It significantly corresponds with the aspects of website assessment on the service, innovative solutions, multi-media options, web 2.0, e-resources and e-databases and platforms provided for easy information retrieval by their users and useful social networking plug-ins. The study reveals that there are seventeen Universities under the CPEPA scheme, the library websites mention about its mission, and vision statement. Sixteen out of seventeen universities provide information on library rules, library staff, library sections, and important web links, working hours &amp; holiday lists. Most of the libraries have independent library website which is linked with University URL. All library websites except Jai Narain Vyas University provide e-journal and e-book links directly on the website. The libraries don't have a uniform library collection. Only 15 universities reflect the information of LMS and institutional repository details. Only Devi Ahilya University and Himachal Pradesh University libraries depict materials for blind users. Annamalai University and Guru Nanak Dev University libraries have coins in their collection. Lending, Inter-library loan, SDI and CAS, reference service and web 2.0 services are most common services provided by all the libraries. Seven university websites have bi-lingual interfaces. Only 6 universities provide keyword search facilities. Online book reservation facility is available only in University of Allahabad library. The study concludes that well designed library websites are very essential for today's digital environment and for enabling a 24*7 access to library resources. All the libraries under CPEPA Universities have not yet developed their websites full-fledged and needs more to be more comprehensive.</t>
  </si>
  <si>
    <t>[Roy, Sanraj] Indian Inst Management Kozhikode, Lib &amp; Informat Ctr, Kozhikode 673570, India; [Sahu, Nivedita Bhattacharyya] Vidyasagar Univ, Dept Lib &amp; Informat Sci, Medinipur 721102, West Bengal, India</t>
  </si>
  <si>
    <t>Indian Institute of Management (IIM System); Indian Institute of Management Kozhikode; Vidyasagar University</t>
  </si>
  <si>
    <t>Sahu, NB (corresponding author), Vidyasagar Univ, Dept Lib &amp; Informat Sci, Medinipur 721102, West Bengal, India.</t>
  </si>
  <si>
    <t>10.14429/djlit.44.05.19597</t>
  </si>
  <si>
    <t>Ghosh, Rita; Sahu, Nivedita Bhattacharyya</t>
  </si>
  <si>
    <t>Farmers' Awareness of Pesticide Use: Role of Public Library and Other Information Sources</t>
  </si>
  <si>
    <t>PUBLIC LIBRARY QUARTERLY</t>
  </si>
  <si>
    <t>[Ghosh, Rita] IIT Kharagpur, Cent Lib, Kharagpur, W Bengal, India; [Sahu, Nivedita Bhattacharyya] Vidyasagar Univ, Dept Lib &amp; Informat Sci, Midnapore, India</t>
  </si>
  <si>
    <t>Ghosh, R (corresponding author), IIT Kharagpur, Cent Lib, Kharagpur, W Bengal, India.</t>
  </si>
  <si>
    <t>0161-6846</t>
  </si>
  <si>
    <t>1541-1540</t>
  </si>
  <si>
    <t>10.1080/01616846.2022.2143159</t>
  </si>
  <si>
    <t>Roy, Sayahnya; Das, Vikas Kumar; Barman, Krishnendu; Mondal, Buddhadeb; Debnath, Koustuv</t>
  </si>
  <si>
    <t>COUPLED DYNAMICS OF RIVER BANK UNDERCUT DEPTH INCREMENT DUE TO RANDOM VELOCITY FIELD</t>
  </si>
  <si>
    <t>ENVIRONMENTAL ENGINEERING AND MANAGEMENT JOURNAL</t>
  </si>
  <si>
    <t>[Roy, Sayahnya] KPR Inst Engn &amp; Technol, Dept Mech Engn, Arasur 641407, Tamil Nadu, India; [Das, Vikas Kumar; Debnath, Koustuv] Indian Inst Engn Sci &amp; Technol IIEST, Dept Aerosp Engn &amp; Appl Mech, Sibpur 711103, India; [Barman, Krishnendu; Mondal, Buddhadeb] Vidyasagar Univ, Dept Appl Math Oceanol &amp; Comp Programming, Midnapore 721102, India</t>
  </si>
  <si>
    <t>GH ASACHI TECHNICAL UNIV IASI</t>
  </si>
  <si>
    <t>71 MANGERON BLVD, IASI, 700050, ROMANIA</t>
  </si>
  <si>
    <t>1582-9596</t>
  </si>
  <si>
    <t>1843-3707</t>
  </si>
  <si>
    <t>Alanazi, Abdulaziz Mohammed; Muhiuddin, Ghulam; Mahapatra, Tanmoy; Bassfar, Zaid; Pal, Madhumangal</t>
  </si>
  <si>
    <t>Inverse Graphs in m-Polar Fuzzy Environments and Their Application in Robotics Manufacturing Allocation Problems with New Techniques of Resolvability</t>
  </si>
  <si>
    <t>SYMMETRY-BASEL</t>
  </si>
  <si>
    <t>[Alanazi, Abdulaziz Mohammed; Muhiuddin, Ghulam] Univ Tabuk, Fac Sci, Dept Math, POB 741, Tabuk 71491, Saudi Arabia; [Mahapatra, Tanmoy; Pal, Madhumangal] Vidyasagar Univ, Dept Appl Math Oceanol &amp; Comp Programming, Midnapore 721102, India; [Bassfar, Zaid] Univ Tabuk, Dept Informat Technol, POB 741, Tabuk 71491, Saudi Arabia</t>
  </si>
  <si>
    <t>University of Tabuk; Vidyasagar University; University of Tabuk</t>
  </si>
  <si>
    <t>Alanazi, AM; Muhiuddin, G (corresponding author), Univ Tabuk, Fac Sci, Dept Math, POB 741, Tabuk 71491, Saudi Arabia.</t>
  </si>
  <si>
    <t>2073-8994</t>
  </si>
  <si>
    <t>10.3390/sym15071387</t>
  </si>
  <si>
    <t>Aktar, Md. Samim; De, Manoranjan; Mazumder, Sanat Kumar; Maiti, Manoranjan</t>
  </si>
  <si>
    <t>Multi-objective green 4-dimensional transportation problems for damageable items through type-2 fuzzy random goal programming</t>
  </si>
  <si>
    <t>[Aktar, Md. Samim; Mazumder, Sanat Kumar] Indian Inst Engn Sci &amp; Technol, Dept Math, Sibpur, India; [De, Manoranjan] Mugberia Gangadhar Mahavidyalaya, Dept Math, Bhupati Nagar, West Bengal, India; [Maiti, Manoranjan] Vidyasagar Univ, Dept Math, Midnapore, West Bengal, India</t>
  </si>
  <si>
    <t>Indian Institute of Engineering Science Technology Shibpur (IIEST); Mugberia Gangadhar Mahavidyalaya; Vidyasagar University</t>
  </si>
  <si>
    <t>Aktar, MS (corresponding author), Indian Inst Engn Sci &amp; Technol, Dept Math, Sibpur, India.</t>
  </si>
  <si>
    <t>10.1016/j.asoc.2022.109681</t>
  </si>
  <si>
    <t>Dey, A; Chowdhuri, P; Pal, P</t>
  </si>
  <si>
    <t>Dey, Ashis; Chowdhuri, Partha; Pal, Pabitra</t>
  </si>
  <si>
    <t>Integer wavelet transform based watermarking scheme for medical image authentication</t>
  </si>
  <si>
    <t>Medical image watermarking; Integer Wavelet Transform (IWT); Imperceptibility; Robustness; Blind watermarking</t>
  </si>
  <si>
    <t>ROBUST; SECURE</t>
  </si>
  <si>
    <t>In this work, a blind watermarking scheme has been proposed for medical image authentication. The scheme can embed patients' records in digital format into a digital copy of a computerized scan. In this scheme, an Integer Wavelet Transform (IWT) is applied to the medical image prior to the embedding procedure. Here LH, HH, and HL sub-bands of the IWT are used for watermark embedding. To ensure the security of the scheme a SHA-512 hash algorithm is applied to the watermark, and the hash value is embedded within the digital copy of the scanned image to ensure the authenticity of the scanned copy. Depending on a shared secret key, the IWT coefficients are selected from random positions before embedding the watermark. The results show that the proposed scheme achieved 78.5 dB PSNR with an NCC value of 0.9805, and SSIM is near about 1 after embedding 65,280 bits of watermark information. The experimental outcomes are compared with some state-of-the-art schemes to show the superiority of the proposed scheme in terms of robustness and imperceptibility.</t>
  </si>
  <si>
    <t>[Dey, Ashis] Silda Chandra Sekhar Coll, Dept Comp Sci, Silda 721515, West Bengal, India; [Chowdhuri, Partha] Vidyasagar Univ, Dept Comp Sci, Vidyasagar Univ Rd, Midnapore 721102, West Bengal, India; [Pal, Pabitra] Maulana Abul Kalam Azad Univ Technol, Dept Comp Applicat, Simhat 741249, West Bengal, India</t>
  </si>
  <si>
    <t>Chowdhuri, P (corresponding author), Vidyasagar Univ, Dept Comp Sci, Vidyasagar Univ Rd, Midnapore 721102, West Bengal, India.</t>
  </si>
  <si>
    <t>10.1007/s11042-024-18183-2</t>
  </si>
  <si>
    <t>Mondal, Krishna Gopal; Kar, Bappa Sona; Rakshit, Soumen; Saha, Satyajit; Jana, Paresh Chandra; Goswami, Makhanlal Nanda</t>
  </si>
  <si>
    <t>Optical, structural and dielectric properties of solvothermally grown molybdenum sulfide nanosheets</t>
  </si>
  <si>
    <t>JOURNAL OF ALLOYS AND COMPOUNDS</t>
  </si>
  <si>
    <t>[Mondal, Krishna Gopal; Rakshit, Soumen; Saha, Satyajit; Jana, Paresh Chandra] Vidyasagar Univ, Dept Phys, Midnapore 721102, WB, India; [Kar, Bappa Sona] Panskura Banamali Coll, Dept Phys, Panskura 721152, WB, India; [Goswami, Makhanlal Nanda] Midnapore Coll Autonomous, Dept Phys, Midnapore 721101, WB, India</t>
  </si>
  <si>
    <t>Kar, BS (corresponding author), Panskura Banamali Coll, Dept Phys, Panskura 721152, WB, India.</t>
  </si>
  <si>
    <t>0925-8388</t>
  </si>
  <si>
    <t>1873-4669</t>
  </si>
  <si>
    <t>J ALLOY COMPD</t>
  </si>
  <si>
    <t>J. Alloy. Compd.</t>
  </si>
  <si>
    <t>10.1016/j.jallcom.2023.172356</t>
  </si>
  <si>
    <t>Chemistry, Physical; Materials Science, Multidisciplinary; Metallurgy &amp; Metallurgical Engineering</t>
  </si>
  <si>
    <t>Chemistry; Materials Science; Metallurgy &amp; Metallurgical Engineering</t>
  </si>
  <si>
    <t>Dasgupta, S; Dandapat, A; Prasad, A; Mishra, P; Dash, P; Ghosh, SK</t>
  </si>
  <si>
    <t>Dasgupta, Soumita; Dandapat, Akash; Prasad, Anima; Mishra, Pulak; Dash, Pinaki; Ghosh, Soumya K.</t>
  </si>
  <si>
    <t>GEO SPATIAL ANALYTIC PLATFORM TO FACILITATE SUSTAINABLE RURAL LIVELIHOOD</t>
  </si>
  <si>
    <t>IGARSS 2024-2024 IEEE INTERNATIONAL GEOSCIENCE AND REMOTE SENSING SYMPOSIUM, IGARSS 2024</t>
  </si>
  <si>
    <t>Sustainable livelihood; Geospatial technology; Rural livelihood</t>
  </si>
  <si>
    <t>In this is work we propose a sustainable livelihood framework (SLF) with backend spatial data infrastructure (SDI) using geospatial analysis. The proposed SLF uses both econometric and spatial indices to estimate the livelihood. A detailed case study has been presented to show the efficacy of the proposed framework. The proposed framework is scalable and can be easily replicated for other region.</t>
  </si>
  <si>
    <t>[Dasgupta, Soumita; Dandapat, Akash; Dash, Pinaki] Vidyasagar Univ, Midnapore, India; [Prasad, Anima; Mishra, Pulak; Ghosh, Soumya K.] Indian Inst Kharagpur, Kharagpur, W Bengal, India</t>
  </si>
  <si>
    <t>Vidyasagar University; Indian Institute of Technology System (IIT System); Indian Institute of Technology (IIT) - Kharagpur</t>
  </si>
  <si>
    <t>Ghosh, SK (corresponding author), Indian Inst Kharagpur, Kharagpur, W Bengal, India.</t>
  </si>
  <si>
    <t>2153-6996</t>
  </si>
  <si>
    <t>10.1109/IGARSS53475.2024.10641048</t>
  </si>
  <si>
    <t>Geography, Physical; Geosciences, Multidisciplinary; Remote Sensing; Imaging Science &amp; Photographic Technology</t>
  </si>
  <si>
    <t>Physical Geography; Geology; Remote Sensing; Imaging Science &amp; Photographic Technology</t>
  </si>
  <si>
    <t>Kabiraj, Ashutosh; Laha, Anubhab; Panja, Anindya Sundar; Bandopadhyay, Rajib</t>
  </si>
  <si>
    <t>In silico comparative structural and functional analysis of arsenite methyltransferase from bacteria, fungi, fishes, birds, and mammals</t>
  </si>
  <si>
    <t>JOURNAL OF GENETIC ENGINEERING AND BIOTECHNOLOGY</t>
  </si>
  <si>
    <t>[Kabiraj, Ashutosh; Laha, Anubhab; Bandopadhyay, Rajib] Univ Burdwan, Ctr Adv Study, Dept Bot, UGC, Golapbag, Bardhaman 713104, West Bengal, India; [Laha, Anubhab] Chandernagore Coll, Dept Bot, Chandernagore 712136, West Bengal, India; [Panja, Anindya Sundar] Vidyasagar Univ, Inst Sci &amp; Technol, Dept Biotechnol Oriental, Mol Informat Lab, Midnapore 721102, West Bengal, India</t>
  </si>
  <si>
    <t>Bandopadhyay, R (corresponding author), Univ Burdwan, Ctr Adv Study, Dept Bot, UGC, Golapbag, Bardhaman 713104, West Bengal, India.</t>
  </si>
  <si>
    <t>2090-5920</t>
  </si>
  <si>
    <t>10.1186/s43141-023-00522-9</t>
  </si>
  <si>
    <t>Biotechnology &amp; Applied Microbiology; Environmental Sciences; Toxicology</t>
  </si>
  <si>
    <t>Biotechnology &amp; Applied Microbiology; Environmental Sciences &amp; Ecology; Toxicology</t>
  </si>
  <si>
    <t>Sarkar, Subhadeep; Roy, Sayahnya; Barman, Krishnendu; Das, Vikas K.; Debnath, Koustuv</t>
  </si>
  <si>
    <t>Turbulence effect on the mechanics of ripple formation under regular wave</t>
  </si>
  <si>
    <t>JOURNAL OF EARTH SYSTEM SCIENCE</t>
  </si>
  <si>
    <t>[Sarkar, Subhadeep; Das, Vikas K.; Debnath, Koustuv] Indian Inst Engn Sci &amp; Technol IIEST, Dept Aerosp Engn &amp; Appl Mech, Sibpur 711103, India; [Roy, Sayahnya] KPR Inst Engn &amp; Technol, Dept Mech Engn, Arasur 641407, Tamil Nadu, India; [Barman, Krishnendu] Vidyasagar Univ, Dept Appl Math Oceanol &amp; Comp Programming, Midnapore 721102, India</t>
  </si>
  <si>
    <t>Debnath, K (corresponding author), Indian Inst Engn Sci &amp; Technol IIEST, Dept Aerosp Engn &amp; Appl Mech, Sibpur 711103, India.</t>
  </si>
  <si>
    <t>2347-4327</t>
  </si>
  <si>
    <t>0973-774X</t>
  </si>
  <si>
    <t>J EARTH SYST SCI</t>
  </si>
  <si>
    <t>J. Earth Syst. Sci.</t>
  </si>
  <si>
    <t>10.1007/s12040-022-01870-9</t>
  </si>
  <si>
    <t>Geosciences, Multidisciplinary; Multidisciplinary Sciences</t>
  </si>
  <si>
    <t>Geology; Science &amp; Technology - Other Topics</t>
  </si>
  <si>
    <t>Chakraborty, H; Das, BK; Chakraborty, N; Sahoo, AK; Maity, J</t>
  </si>
  <si>
    <t>Chakraborty, Hena; Das, Basanta Kumar; Chakraborty, Nabanita; Sahoo, Amiya Kumar; Maity, Joydev</t>
  </si>
  <si>
    <t>Distribution patterns of antioxidants in the organs of anadromous fish Tenualosa ilisha (Hamilton, 1822)-a profiling in different age groups for future application in anti-aging</t>
  </si>
  <si>
    <t>FRONTIERS IN MARINE SCIENCE</t>
  </si>
  <si>
    <t>ABTS; anadromous fish; antioxidant; FRAP; Hilsa</t>
  </si>
  <si>
    <t>FATTY-ACID; IN-VIVO; CAPACITY; HILSA; DPPH; OIL</t>
  </si>
  <si>
    <t>Antioxidants play a crucial role in maintaining health by scavenging free radicals that causes cellular damage and accelerates aging and disease. The present study focuses on the antioxidant levels in various organs of Hilsa fish, both male and female, with a weight range of 50 g to 780 g collected from the Hooghly River in the lower Gangetic plain. The study utilized commercially available free radicals such as, viz., 2,2 '-azinobis-[3-ethyl-benzothiazoline-6-sulfonic acid] and ferric reducing antioxidant potential to measure the scavenging activity. The results indicated that female Hilsa fish possess higher levels of antioxidants (93.79 +/- 0.26) compared to male counterparts (84.50 +/- 0.65) in all organs, with levels increasing proportionally with weight. Interestingly, in males, the serum antioxidant profile was higher in the lower weight group (50-100 g), whereas, in females, the highest antioxidant activity was observed in the weight range of 300 g to 400 g. The present study was attempted for the first time to characterize the antioxidant distribution pattern in the different organs of Hilsa. These findings suggest that Hilsa fish organs, including serum, contain high levels of antioxidants that could significantly benefit human nutrition and potentially will contribute to anti-aging effects by incorporating Hilsa to their diet, which needs further clinical study.</t>
  </si>
  <si>
    <t>[Chakraborty, Hena; Das, Basanta Kumar; Chakraborty, Nabanita; Sahoo, Amiya Kumar] ICAR Cent Inland Fisheries Res Inst, Barakpur, India; [Chakraborty, Hena; Maity, Joydev] Vidyasagar Univ, Dept Fisheries Sci, Midnapore, India</t>
  </si>
  <si>
    <t>Das, BK (corresponding author), ICAR Cent Inland Fisheries Res Inst, Barakpur, India.</t>
  </si>
  <si>
    <t>2296-7745</t>
  </si>
  <si>
    <t>10.3389/fmars.2024.1452775</t>
  </si>
  <si>
    <t>Environmental Sciences; Marine &amp; Freshwater Biology</t>
  </si>
  <si>
    <t>Aktar, Md Samim; Kar, Chaitali; De, Manoranjan; Mazumder, Sanat Kumar; Maiti, Manoranjan</t>
  </si>
  <si>
    <t>Fixed charge 4-dimensional transportation problem for breakable incompatible items with type-2 fuzzy random parameters under volume constraint</t>
  </si>
  <si>
    <t>ADVANCED ENGINEERING INFORMATICS</t>
  </si>
  <si>
    <t>[Aktar, Md Samim; Kar, Chaitali; Mazumder, Sanat Kumar] Indian Inst Engn Sci &amp; Technol, Dept Math, Sibpur, India; [De, Manoranjan] Mugberia Gangadhar Mahavidyalaya, Dept Math, Bhupatinagar, West Bengal, India; [Maiti, Manoranjan] Vidyasagar Univ, Dept Math, Midnapore, West Bengal, India</t>
  </si>
  <si>
    <t>1474-0346</t>
  </si>
  <si>
    <t>1873-5320</t>
  </si>
  <si>
    <t>10.1016/j.aei.2023.102222</t>
  </si>
  <si>
    <t>Computer Science, Artificial Intelligence; Engineering, Multidisciplinary</t>
  </si>
  <si>
    <t>Ali, A; Das, S; Jana, RN</t>
  </si>
  <si>
    <t>Ali, Asgar; Das, Sanatan; Jana, R. N.</t>
  </si>
  <si>
    <t>MHD radiant couple stress tetrahybridized nanofluid streaming inside slanted rotating micro-parallel plates subject to Hall currents: a neuro-computing approach</t>
  </si>
  <si>
    <t>ARCHIVES OF CIVIL AND MECHANICAL ENGINEERING</t>
  </si>
  <si>
    <t>Angled magnetic field; Hall currents; Couple stress; Tetrahybrid nanofluids; Oblique thermal channel; Artificial neural network (ANN)</t>
  </si>
  <si>
    <t>VERTICAL CHANNEL; FLOW; FLUID; NANOPARTICLES; RADIATION</t>
  </si>
  <si>
    <t>The hydrothermal dynamical effectiveness and usefulness of highly responsive spinning mechanisms under slanted Hall currents is a significant issue in several manufacturing and experimental functions. Hybridized nanoparticles have novel properties that are advantageous for a range of technical uses. Compared to trihybrid, bihybrid, or mono-nanofluid, tetrahybrid nanofluid (Tetra HNF) is a new idea in research that enables a faster cooling process. These motivate us to research the effects of oblique Hall currents on a non-Newtonian couple stress tetrahybrid nanofluid flow in an oblique channel with oscillatory heating under strong external magnetic attraction with Hall currents in a magneto-gyrating environment. To create tetrahybrid nanofluids (Cu-TiO2-Ag-Al2O3/WEG), copper, titania, silver, and alumina nanopowder forms are dispersed in a colloidal solution of water and ethylene glycol (vol. 60-40%). We discuss four kinds of nanoparticles: spheres, bricks, cylinders, and platelets. Mechanical circumstances and presumptions are used to build the partial differential equations (PDEs) that describe the mechanical problems. The dimensionless energy and momentum with related wall constraints are resolved using an analytical approach. Multiple kinds of graphic representations and tabulated data are presented to fully accomplish and demonstrate the mechanical aspects of important developing parameters on the hydrothermal trends and their practical significance. Our results demonstrate that the resultant velocity rapidly rises over growing changes in inclined Hall currents. The velocity profile gets an elevation for the inclination of the channel in the range pi/4</t>
  </si>
  <si>
    <t>[Ali, Asgar] Bajkul Milani Mahavidyalaya, Dept Math, Purba Medinipur 721655, India; [Das, Sanatan] Univ Gour Banga, Dept Math, Malda 732103, India; [Jana, R. N.] Vidyasagar Univ, Dept Appl Math, Midnapore 721102, India</t>
  </si>
  <si>
    <t>Ali, A (corresponding author), Bajkul Milani Mahavidyalaya, Dept Math, Purba Medinipur 721655, India.</t>
  </si>
  <si>
    <t>1644-9665</t>
  </si>
  <si>
    <t>2083-3318</t>
  </si>
  <si>
    <t>10.1007/s43452-024-01010-8</t>
  </si>
  <si>
    <t>Engineering, Civil; Engineering, Mechanical; Materials Science, Multidisciplinary</t>
  </si>
  <si>
    <t>Engineering; Materials Science</t>
  </si>
  <si>
    <t>Biswas, A; Adhikari, A; Adhikari, S; Paul, A; Ghosh, P</t>
  </si>
  <si>
    <t>Biswas, Arijit; Adhikari, Ayan; Adhikari, Sinchan; Paul, Anupam; Ghosh, Parthadeb</t>
  </si>
  <si>
    <t>Assessment of variability and interrelationship between yield and yield related traits towards divergence in rice (Oryza sativa L.) landraces</t>
  </si>
  <si>
    <t>NUCLEUS-INDIA</t>
  </si>
  <si>
    <t>Genetic variability; Heritability; Principal component analysis; Cluster analysis</t>
  </si>
  <si>
    <t>GRAIN; INCREASE</t>
  </si>
  <si>
    <t>Knowledge of variability and magnitude of divergence between agronomic traits play fundamental role in selection of desirable landraces in breeding programme. The present study evaluated 31 rice landraces for 20 morphological traits. All the studied quantitative traits showed significant variation among the landraces. Marked differences between (GCV) i.e, genotypic coefficient of variation and (PCV) i.e, phenotypic coefficient of variation estimates were noticed in to the panicle weight, panicle length, number of primary branches panicle(-1), total grains panicle (-1), chaffy grains panicle(-1), filled grains panicle(-1), boiled kernel length and breadth indicating substantial variation for these characters was governed by environmental components. High heritability coupled with high genetic advance as per cent of mean (GAM) was observed for 12 days plant height, 100 grains weight, grain length, grain breadth, ligule length, leaf length, leaf breadth, kernel before boiling length, kernel before boiling breadth and grain yield indicating the dominant role of additive gene action in the phenological expression of these traits. Plant height, 100 grains weight, grain breadth and leaf breadth had strong positive correlation with yield and among themselves highlighting the usefulness of these agronomic traits in selection of high yielder. Path analysis further revealed the importance of the traits in influencing the grain yield. UPGMA based dendrogram grouped the landraces into four clusters and no cluster was found to contain landraces with all the desirable traits. First five principal components were significant and explained 76.62% of total variation among all the landraces. Overall findings can help rice breeders in selection of effective combination of parental genotypes carrying the desirable characters. [GRAPHICS] .</t>
  </si>
  <si>
    <t>[Biswas, Arijit] Vidyasagar Univ, Dept Biotechnol, Midnapore 721102, West Bengal, India; [Adhikari, Ayan; Adhikari, Sinchan; Ghosh, Parthadeb] Univ Kalyani, Dept Bot, Nadia 741235, West Bengal, India; [Paul, Anupam] Govt West Bengal, Kangsabati Command Area Dev Author, Dept Agr, Bankura 722101, West Bengal, India; [Adhikari, Sinchan] 61 Wireless Rd, Hooghly 712246, West Bengal, India</t>
  </si>
  <si>
    <t>Ghosh, P (corresponding author), Univ Kalyani, Dept Bot, Nadia 741235, West Bengal, India.</t>
  </si>
  <si>
    <t>0029-568X</t>
  </si>
  <si>
    <t>0976-7975</t>
  </si>
  <si>
    <t>10.1007/s13237-023-00459-x</t>
  </si>
  <si>
    <t>Cell Biology</t>
  </si>
  <si>
    <t>Manna, A; Bera, MR; Ghosh, TN; Saha, S; Saha, SC</t>
  </si>
  <si>
    <t>Manna, Amit; Bera, Mihir Ranjan; Ghosh, Tilak Narayan; Saha, Satyajit; Saha, Subhas Chandra</t>
  </si>
  <si>
    <t>Structural optical and magnetic characterizations of pure and cobalt-doped CdSe nanoparticles to investigate photocatalytic degradation of methyl blue under visible light</t>
  </si>
  <si>
    <t>QUANTUM DOTS; RHODAMINE-B; NANOCOMPOSITES; CATALYSTS; REMOVAL; TIO2</t>
  </si>
  <si>
    <t>The samples of cadmium selenide (CdSe) nanoparticles (NPs) of pure and doped with cobalt (Co) were developed in a chemical reduction route. The synthesized nanoparticles were characterized employing transmission electron microscopy (TEM), selected area electron diffraction pattern (SAED), field emission scanning electron microscopy (FESEM), atomic force microscopy (AFM), energy dispersive x-ray analysis (EDX), x-ray diffractometry (XRD), Fourier transform infrared (FTIR) spectroscopy, Raman spectroscopy, vibrating sample magnetometer (VSM) tool, UV-Vis spectroscopy, photoluminescence (PL) spectroscopy and photocatalytic activity measurements. The average crystallite size is 5.8-8 nm as determined by TEM and XRD measurements. With increased cobalt percentage in CdSe as a doping element, strong photoluminescence quenching and improved quantum confinement are observed. The direct bandgap of CdSe nanoparticle samples of pure and doped with Co (5% &amp; 7%), measured by UV-vis spectrometer are 2.02 eV, 2.13 eV and 2.23 eV, respectively. Photocatalytic activities of CdSe were studied by irradiating the solution of methyl blue (MB) upon its exposure to visible light. The pure CdSe, 5% Co-doped CdSe and 7% Co-doped CdSe show removal efficiency for Methyl Blue solution at pH 7 as 75%, 85% and 97% in 60 min, respectively. In particular, the 7% Co-doped CdSe photocatalyst exhibits about 97% degradation of MB dye at a rate constant (0.0076 min-1) which is clearly more efficient than 5% Co-doped CdSe (0.0067 min-1) and pure CdSe (0.0037 min-1).</t>
  </si>
  <si>
    <t>[Manna, Amit; Bera, Mihir Ranjan; Saha, Subhas Chandra] Vidyasagar Univ, Dept Elect, Midnapore 721102, West Bengal, India; [Bera, Mihir Ranjan] Raja NL Khan Womens Coll Autonomous, Dept Phys, Midnapore 721102, West Bengal, India; [Ghosh, Tilak Narayan] Midnapore Coll Autonomous, Dept Elect, Midnapore 721101, West Bengal, India; [Manna, Amit; Saha, Satyajit] Vidyasagar Univ, Dept Phys, Midnapore 721102, West Bengal, India</t>
  </si>
  <si>
    <t>Vidyasagar University; Midnapore College; Vidyasagar University</t>
  </si>
  <si>
    <t>Ghosh, TN (corresponding author), Midnapore Coll Autonomous, Dept Elect, Midnapore 721101, West Bengal, India.</t>
  </si>
  <si>
    <t>10.1007/s10854-024-11955-4</t>
  </si>
  <si>
    <t>Das, S; Mallick, A; Barik, M; Sarkar, S; Saha, P</t>
  </si>
  <si>
    <t>Das, Surojit; Mallick, Abhi; Barik, Mili; Sarkar, Soma; Saha, Puranjoy</t>
  </si>
  <si>
    <t>The emergence of clonally diverse carbapenem-resistant Enterobacter cloacae complex in West Bengal, India: a dockyard of β-lactamases periling nosocomial infections</t>
  </si>
  <si>
    <t>Enterobacter cloacae complex; Carbapenem resistance; beta-lactamases; Epidemiology; Plasmid; Clone</t>
  </si>
  <si>
    <t>PLASMIDS; IDENTIFICATION; EPIDEMIOLOGY; GENES</t>
  </si>
  <si>
    <t>Carbapenem-resistant Enterobacter cloacae complex (CRECC) constitutes a global public health threat challenging clinical treatment and infection control, especially in low- and middle-income countries such as India. We analyzed the antimicrobial susceptibility, major beta-lactamase genes, plasmid profiles, and genetic relatedness to understand the molecular epidemiology of CRECC clinical isolates (n = 44) in West Bengal, India, during 2021-2022. The majority (&gt; 55%) of the isolates were resistant to fluoroquinolones, aminoglycosides, and co-trimoxazole, even &gt; 20% for tigecycline and &gt; 35% were extensively drug-resistant. Co-beta-lactamase production was categorized into twenty-seven types, importantly NDM (84%), OXA-48 (40%), TEM (61%), CTX-M (46%), OXA-1 (55%), and MIR (27%). The NDM-1 and OXA-181 were major variants with the first observations of NDM-24 and -29 variants in India. Wide-range of plasmids (2 to &gt; 212 kb) were harbored by the beta-lactamase-producing isolates: small (91%), medium (27%), large (9%), and mega (71%). IncX3, ColE1, and HI2 were noted in about 30% of isolates, while IncF and R were carried by &lt; 20% of isolates. The clonally diverse CRECC isolates were noted to cause cross-infections, especially at superficial site, bloodstream, and urinary-tract. This is the first molecular surveillance on CRECC in India. The study isolates serve as the dockyard of NDM, TEM, and CTX-M harboring a wide range of plasmids. The outcomes of the study may strengthen local and national policies for infection prevention and control practices, clarifying the genetic diversity among CRECC. Extensive genomic study may further intersect the relationships between these different plasmids, especially with their sizes, types, and antibiotic resistance markers.</t>
  </si>
  <si>
    <t>[Das, Surojit; Mallick, Abhi; Barik, Mili] Vidyasagar Univ, Dept Biomed Lab Sci &amp; Management, Midnapore 721102, West Bengal, India; [Sarkar, Soma] Nil Ratan Sirkar Med Coll Hosp, Dept Microbiol, Kolkata, West Bengal, India; [Sarkar, Soma] Infect Dis &amp; Beleghata Gen Hosp, Dept Microbiol, Kolkata, West Bengal, India; [Saha, Puranjoy] Malda Med Coll &amp; Hosp, Dept Microbiol, Malda, West Bengal, India</t>
  </si>
  <si>
    <t>Das, S (corresponding author), Vidyasagar Univ, Dept Biomed Lab Sci &amp; Management, Midnapore 721102, West Bengal, India.</t>
  </si>
  <si>
    <t>10.1007/s10123-023-00451-0</t>
  </si>
  <si>
    <t>Das, Puja; Mitra, Dipanwita; Jana, Kuladip; Ghosh, Debidas</t>
  </si>
  <si>
    <t>In Vitro Study on Spermicidal Action of Hydro-methanol Extract of Tinospora cordifolia (Willd.) Stem in Rat and Human Sperm: a Comparative Analysis</t>
  </si>
  <si>
    <t>[Das, Puja] Vidyasagar Univ, Ctr Life Sci, Midnapore 721102, W Bengal, India; [Mitra, Dipanwita; Ghosh, Debidas] Vidyasagar Univ, Dept Biomed Lab Sci &amp; Management, Mol Med Nutrigen &amp; Publ Hlth Res Lab, Midnapore 721102, W Bengal, India; [Jana, Kuladip] Bose Inst, Div Mol Med, EN 80,Sect 5, Kolkata 700091, India</t>
  </si>
  <si>
    <t>Vidyasagar University; Vidyasagar University; Department of Science &amp; Technology (India); Bose Institute</t>
  </si>
  <si>
    <t>Ghosh, D (corresponding author), Vidyasagar Univ, Dept Biomed Lab Sci &amp; Management, Mol Med Nutrigen &amp; Publ Hlth Res Lab, Midnapore 721102, W Bengal, India.</t>
  </si>
  <si>
    <t>10.1007/s43032-023-01327-4</t>
  </si>
  <si>
    <t>Dhar, Shrinjana; Mondal, Kousik Kr.; Bhattacharjee, Pritha</t>
  </si>
  <si>
    <t>Influence of lifestyle factors with the outcome of menstrual disorders among adolescents and young women in West Bengal, India</t>
  </si>
  <si>
    <t>[Dhar, Shrinjana; Mondal, Kousik Kr.; Bhattacharjee, Pritha] Univ Calcutta, Dept Environm Sci, Environm Epigen Lab, 37 Ballygunge Circular Rd, Kolkata 700019, W Bengal, India; [Mondal, Kousik Kr.] Vidyasagar Univ, Mugberia Gangadhar Mahavidyalaya, Dept Zool, Bhupati Nagar, Purba Medinipur 721425, W Bengal, India</t>
  </si>
  <si>
    <t>University of Calcutta; Mugberia Gangadhar Mahavidyalaya; Vidyasagar University</t>
  </si>
  <si>
    <t>Bhattacharjee, P (corresponding author), Univ Calcutta, Dept Environm Sci, Environm Epigen Lab, 37 Ballygunge Circular Rd, Kolkata 700019, W Bengal, India.</t>
  </si>
  <si>
    <t>10.1038/s41598-023-35858-2</t>
  </si>
  <si>
    <t>Pal, Sova; Pramanik, Prasenjit; Maiti, Ajoy Kumar; Maiti, Manas Kumar</t>
  </si>
  <si>
    <t>Multi-dimensional transportation problems in multiple environments: a simulation based heuristic approach</t>
  </si>
  <si>
    <t>[Pal, Sova] Yogoda Satsanga Palpara Mahavidyalaya, Dept Comp Sci, Medinipur 721458, West Bengal, India; [Pramanik, Prasenjit] Vidyasagar Univ, Dept Appl Math Oceanol &amp; Comp Programming, Midnapore 721102, West Bengal, India; [Maiti, Ajoy Kumar] Raja Narendra Lal Khan Womens Coll, Dept Math, Midnapore 721102, West Bengal, India; [Maiti, Manas Kumar] Mahishadal Raj Coll, Dept Math, Mahishadal 721628, West Bengal, India</t>
  </si>
  <si>
    <t>Pramanik, P (corresponding author), Vidyasagar Univ, Dept Appl Math Oceanol &amp; Comp Programming, Midnapore 721102, West Bengal, India.</t>
  </si>
  <si>
    <t>10.1007/s00500-023-08204-x</t>
  </si>
  <si>
    <t>Pal, Pabitra; Chowdhuri, Partha; Si, Tapas</t>
  </si>
  <si>
    <t>A novel watermarking scheme for medical image using support vector machine and lifting wavelet transform</t>
  </si>
  <si>
    <t>[Pal, Pabitra] Maulana Abul Kalam Azad Univ Technol, Dept Comp Applicat, Haringhata 741249, West Bengal, India; [Chowdhuri, Partha] Vidyasagar Univ, Comp Sci, Vidyasagar Univ Rd, Paschim Medinipur 721102, West Bengal, India; [Si, Tapas] Univ Engn &amp; Management, Dept Comp Sci &amp; Engn, GURUKUL, Sikar Rd NH-11, Jaipur 303807, Rajasthan, India</t>
  </si>
  <si>
    <t>Maulana Abul Kalam Azad University of Technology; Vidyasagar University</t>
  </si>
  <si>
    <t>Chowdhuri, P (corresponding author), Vidyasagar Univ, Comp Sci, Vidyasagar Univ Rd, Paschim Medinipur 721102, West Bengal, India.</t>
  </si>
  <si>
    <t>10.1007/s11042-023-15144-z</t>
  </si>
  <si>
    <t>Chowdhuri, Partha; Pal, Pabitra; Si, Tapas</t>
  </si>
  <si>
    <t>A novel steganographic technique for medical image using SVM and IWT</t>
  </si>
  <si>
    <t>[Chowdhuri, Partha] Vidyasagar Univ, Comp Sci, Vidyasagar Univ Rd, Paschim Medinipur 721102, West Bengal, India; [Pal, Pabitra] Maulana Abul Kalam Azad Univ Technol, Dept Comp Applicat, Haringhata 741249, West Bengal, India; [Si, Tapas] Bankura Unnayani Inst Engn, Dept Comp Sci &amp; Engn, Bankura 722146, West Bengal, India</t>
  </si>
  <si>
    <t>Pal, P (corresponding author), Maulana Abul Kalam Azad Univ Technol, Dept Comp Applicat, Haringhata 741249, West Bengal, India.</t>
  </si>
  <si>
    <t>10.1007/s11042-022-14301-0</t>
  </si>
  <si>
    <t>Islam, Kamirul; Konar, Mithun Chandra; Roy, Atanu; Biswas, Biswajit; Nayek, Kaustav; Middya, Subhasri</t>
  </si>
  <si>
    <t>Role of cooked green banana in home management of acute diarrhea in under-5 children</t>
  </si>
  <si>
    <t>JOURNAL OF TROPICAL PEDIATRICS</t>
  </si>
  <si>
    <t>[Islam, Kamirul; Biswas, Biswajit; Nayek, Kaustav] Burdwan Med Coll, Dept Pediat, Burdwan 713104, West Bengal, India; [Konar, Mithun Chandra; Roy, Atanu] Kolkata Med Coll, Dept Pediat, Kolkata 700073, West Bengal, India; [Middya, Subhasri] Vidyasagar Univ, Dept Zool, Midnapore 721102, West Bengal, India; [Konar, Mithun Chandra] Med Coll, Dept Pediat, De290-1,Giridhari 5 Apartment,Narayantal East,Bagu, Kolkata 700159, West Bengal, India</t>
  </si>
  <si>
    <t>Konar, MC (corresponding author), Med Coll, Dept Pediat, De290-1,Giridhari 5 Apartment,Narayantal East,Bagu, Kolkata 700159, West Bengal, India.</t>
  </si>
  <si>
    <t>0142-6338</t>
  </si>
  <si>
    <t>1465-3664</t>
  </si>
  <si>
    <t>10.1093/tropej/fmad005</t>
  </si>
  <si>
    <t>Pediatrics; Tropical Medicine</t>
  </si>
  <si>
    <t>Bala, S; Bag, B; Sarkar, S; Sarkar, PP</t>
  </si>
  <si>
    <t>Bala, Susmita; Bag, Biplab; Sarkar, Sushanta; Sarkar, Partha Pratim</t>
  </si>
  <si>
    <t>A single feed circularly polarized dual band microstrip monopole antenna for wireless applications</t>
  </si>
  <si>
    <t>MICROWAVE AND OPTICAL TECHNOLOGY LETTERS</t>
  </si>
  <si>
    <t>circularly polarized; dual-band; monopole antenna; single feed</t>
  </si>
  <si>
    <t>The paper proposes a circularly polarized dual band single feed microstrip monopole antenna. The proposed antenna consists of a radiating patch, a shrink ground plane, and a 50 ohm microstrip transmission line feed. The radiating patch is a combination of three modified metallic strips, a modified rectangular strip and a semicircular strip. The ground plane consists of two modified open ended slots. The substrate area of the antenna is only 40 mm x 42 mm x 1.6 mm. The antenna has been designed by HFSS simulation software and after getting simulated results the antenna has been fabricated to verify its results. The antenna provides measured bandwidths (-10 dB impedance bandwidth) of 600 MHz (2.2-2.8 GHz) in the lower band and 2.1 GHz (7.5-9.6 GHz) in the higher band. The measured results show its 3 dB axial ratio bandwidth of 120 MHz (2.2-2.32 GHz) for lower band and 1.4 GHz (7.2-8.6) GHz for the upper band. The high measured peak gain of 8 dBi has been obtained from the proposed antenna. The lower band is useful for WiMAX application and upper band is useful for C band application. The desired radiation patterns (RHCP and LHCP) have been obtained from the proposed antenna.</t>
  </si>
  <si>
    <t>[Bala, Susmita] Vidyasagar Univ, Dept Elect, Midnapore, India; [Bag, Biplab] Murshidabad Coll Engn &amp; Technol, Dept Elect, Murshidabad, India; [Sarkar, Sushanta; Sarkar, Partha Pratim] Univ Kalyani, DETS, Kalyani, India</t>
  </si>
  <si>
    <t>Bala, S (corresponding author), Vidyasagar Univ, Dept Elect, Midnapore, India.</t>
  </si>
  <si>
    <t>0895-2477</t>
  </si>
  <si>
    <t>1098-2760</t>
  </si>
  <si>
    <t>10.1002/mop.34048</t>
  </si>
  <si>
    <t>Engineering, Electrical &amp; Electronic; Optics</t>
  </si>
  <si>
    <t>Engineering; Optics</t>
  </si>
  <si>
    <t>Das, Ramesh Chandra; Chatterjee, Tonmoy; Ivaldi, Enrico</t>
  </si>
  <si>
    <t>Co-movements of income and urbanization through energy use and pollution: An investigation for world's leading polluting countries</t>
  </si>
  <si>
    <t>ECOLOGICAL INDICATORS</t>
  </si>
  <si>
    <t>[Das, Ramesh Chandra] Vidyasagar Univ, Dept Econ, Midnapore, India; [Chatterjee, Tonmoy] Bhairab Ganguly Coll, Dept Econ, Kolkata, WB, India; [Ivaldi, Enrico] Univ Genoa, Dept Polit &amp; Int Sci, Genoa, Italy</t>
  </si>
  <si>
    <t>Vidyasagar University; University of Genoa</t>
  </si>
  <si>
    <t>Ivaldi, E (corresponding author), Univ Genoa, Dept Polit &amp; Int Sci, Genoa, Italy.</t>
  </si>
  <si>
    <t>1470-160X</t>
  </si>
  <si>
    <t>1872-7034</t>
  </si>
  <si>
    <t>ECOL INDIC</t>
  </si>
  <si>
    <t>Ecol. Indic.</t>
  </si>
  <si>
    <t>10.1016/j.ecolind.2023.110381</t>
  </si>
  <si>
    <t>Biodiversity Conservation; Environmental Sciences</t>
  </si>
  <si>
    <t>Biodiversity &amp; Conservation; Environmental Sciences &amp; Ecology</t>
  </si>
  <si>
    <t>Samanta, Shashanka Shekhar; Giri, Prabhat Kumar; Giri, Subhadip; Ghosh, Avijit; Misra, Ajay</t>
  </si>
  <si>
    <t>Flexible HSA-interactive phenolphthalein based probe proficient at selective turn-on sensing for Zn2+&amp; Al3+</t>
  </si>
  <si>
    <t>[Samanta, Shashanka Shekhar; Giri, Prabhat Kumar; Giri, Subhadip; Misra, Ajay] Vidyasagar Univ, Dept Chem, Midnapore 721102, West Bengal, India; [Ghosh, Avijit] Univ Calcutta, Ctr Res Nano Sci &amp; Nanotechnol, Technol Campus,JD-2,Sect 3, Kolkata 700106, West Bengal, India</t>
  </si>
  <si>
    <t>10.1016/j.molstruc.2023.134927</t>
  </si>
  <si>
    <t>Mudi, N; Samanta, SS; Mandal, S; Barman, S; Beg, H; Misra, A</t>
  </si>
  <si>
    <t>Mudi, Naren; Samanta, Shashanka Shekhar; Mandal, Sourav; Barman, Suraj; Beg, Hasibul; Misra, Ajay</t>
  </si>
  <si>
    <t>An O-vanillin scaffold as a selective chemosensor of PO43- and the application of neural network based soft computing to predict machine learning outcomes</t>
  </si>
  <si>
    <t>ANION RECEPTOR CHEMISTRY; FLUORESCENT SENSOR; PHOSPHATE ANION; DNA-BINDING; RECOGNITION; HIGHLIGHTS; DESIGN; PROBE; HOST</t>
  </si>
  <si>
    <t>O-Vanillin derived Schiff base 1-[(E)-(2-hydroxy-3-methoxybenzylidene) amino]-4-methylthiosemicarbazone (VCOH) has been synthesized for colorimetric and fluorescence chemosensors towards PO43- ions. A fluorescence 'turn-on' sensing mechanism of VCOH towards PO43- ions has been explained due to emission from the VCO- ion formed upon transfer of the phenolic proton of VCOH to a PO43- ion. The 1 : 1 stoichiometry between the VCOH probe and PO43- ion is confirmed by Job's plot based on UV-vis titration. The limit of detection (LOD) of VCOH towards PO(4)(3- )ions is found to be 0.49 nM. The PO43- ion sensing property of probe VCOH has been applied to prepare portable paper strips and for the analysis of real water samples. Fluorescence 'turn-on' and 'turn-off' responses of VCOH towards PO(4)(3-)and H+ respectively have been used to construct a molecular logic gate. Fluorescence based sensing studies in which the concentration of analytes is adjusted over a broad range can be both laborious and expensive. In order to address these challenges, we have utilized various soft computing methods, including artificial neural networks (ANN), fuzzy logic (FL), and adaptive neuro-fuzzy inference systems (ANFIS), to appropriately model the 'turn-on' and 'turn-off' behaviors of the VCOH probe upon addition of PO43- and H+ respectively as well as to predict the experimental sensing data.</t>
  </si>
  <si>
    <t>[Mudi, Naren] Bijoy Krishna Girls Coll, Dept Chem, Howrah 711101, India; [Samanta, Shashanka Shekhar; Mandal, Sourav; Barman, Suraj; Misra, Ajay] Vidyasagar Univ, Dept Chem, Midnapore 721101, India; [Beg, Hasibul] Raja N L Khan Womens Coll, Dept Chem, Midnapore 721102, India</t>
  </si>
  <si>
    <t>10.1039/d4nj02462a</t>
  </si>
  <si>
    <t>Giri, P; Amanathulla, S; Das, KM</t>
  </si>
  <si>
    <t>Giri, Prabuddha; Amanathulla, Sk; Das, Kalyani Maity</t>
  </si>
  <si>
    <t>An analysis of Fermatean fuzzy graph and its application in a car company</t>
  </si>
  <si>
    <t>Fermatean fuzzy set; Fuzzy graph; Fermatean fuzzy graph; Complement; Homomorphism; Isomorphism</t>
  </si>
  <si>
    <t>Fuzzy graphs find numerous applications in real life. One of the extensions of fuzzy graphs is Fermatean fuzzy graphs. Here, we introduce the concepts of Fermatean fuzzy set to the domain of graph theory and obtain a novel type of graph, referred to as Fermatean fuzzy graph (FFG\documentclass[12pt]{minimal} \usepackage{amsmath} \usepackage{wasysym} \usepackage{amsfonts} \usepackage{amssymb} \usepackage{amsbsy} \usepackage{mathrsfs} \usepackage{upgreek} \setlength{\oddsidemargin}{-69pt} \begin{document}$$\textit{FFG}$$\end{document}). The article establishes fundamental terms such as strong FFG\documentclass[12pt]{minimal} \usepackage{amsmath} \usepackage{wasysym} \usepackage{amsfonts} \usepackage{amssymb} \usepackage{amsbsy} \usepackage{mathrsfs} \usepackage{upgreek} \setlength{\oddsidemargin}{-69pt} \begin{document}$$\textit{FFG}$$\end{document}, complete FFG\documentclass[12pt]{minimal} \usepackage{amsmath} \usepackage{wasysym} \usepackage{amsfonts} \usepackage{amssymb} \usepackage{amsbsy} \usepackage{mathrsfs} \usepackage{upgreek} \setlength{\oddsidemargin}{-69pt} \begin{document}$$\textit{FFG}$$\end{document}, regular FFG\documentclass[12pt]{minimal} \usepackage{amsmath} \usepackage{wasysym} \usepackage{amsfonts} \usepackage{amssymb} \usepackage{amsbsy} \usepackage{mathrsfs} \usepackage{upgreek} \setlength{\oddsidemargin}{-69pt} \begin{document}$$\textit{FFG}$$\end{document}, path, degree, total degree, homomorphism, and isomorphism of FFG\documentclass[12pt]{minimal} \usepackage{amsmath} \usepackage{wasysym} \usepackage{amsfonts} \usepackage{amssymb} \usepackage{amsbsy} \usepackage{mathrsfs} \usepackage{upgreek} \setlength{\oddsidemargin}{-69pt} \begin{document}$$\textit{FFG}$$\end{document}, as well as the complement of FFG\documentclass[12pt]{minimal} \usepackage{amsmath} \usepackage{wasysym} \usepackage{amsfonts} \usepackage{amssymb} \usepackage{amsbsy} \usepackage{mathrsfs} \usepackage{upgreek} \setlength{\oddsidemargin}{-69pt} \begin{document}$$\textit{FFG}$$\end{document}. Alongside the introduction of these concepts, their important properties, theorems, and illustrative examples are defined and discussed. Finally, an application has surfaced suggesting the utilization of FFG\documentclass[12pt]{minimal} \usepackage{amsmath} \usepackage{wasysym} \usepackage{amsfonts} \usepackage{amssymb} \usepackage{amsbsy} \usepackage{mathrsfs} \usepackage{upgreek} \setlength{\oddsidemargin}{-69pt} \begin{document}$$\textit{FFG}$$\end{document}s to scrutinize the key factors affecting the productivity of Tata Motors, paving the way for a comprehensive analysis of the company's operational efficiency using score function.</t>
  </si>
  <si>
    <t>[Giri, Prabuddha] Vidyasagar Univ, Belda Coll, Nat Sci Res Ctr, Belda, India; [Giri, Prabuddha] Ramnagar Coll, Dept Math, Depal, India; [Amanathulla, Sk] Raghunathpur Coll, Dept Math, Raghunathpur, India; [Das, Kalyani Maity] Belda Coll, Dept Math, Belda, India</t>
  </si>
  <si>
    <t>Amanathulla, S (corresponding author), Raghunathpur Coll, Dept Math, Raghunathpur, India.</t>
  </si>
  <si>
    <t>10.1007/s12190-024-02094-4</t>
  </si>
  <si>
    <t>Maity, S; Sinha, A; Roy, N</t>
  </si>
  <si>
    <t>Maity, Shrabanti; Sinha, Anup; Roy, Niranjan</t>
  </si>
  <si>
    <t>Ageing ascendances labour force participation in India: myth or reality?</t>
  </si>
  <si>
    <t>JOURNAL OF SOCIAL AND ECONOMIC DEVELOPMENT</t>
  </si>
  <si>
    <t>Population ageing; Labour force participation; Workforce; Human capital; Co-integration; Vector error correction model; India; C50; J00; J1; J11</t>
  </si>
  <si>
    <t>The ageing of the population is a growing concern in both industrialised and emerging nations, including India. The growing number of greying people has severe consequences not only for the economy but also for labour force participation. The paper aims to investigate the impact of population ageing on the labour force participation rate in India, utilising data from the World Bank. As the time series variables are stationary at the first difference and co-integrated, we have employed the Vector Error Correction Model to explore the concerned objective. The findings show that population ageing has a severe impact on labour force participation rates in both the short and long run. The study concludes that technical advancement and the accumulation of human capital can address the decline in labour force participation. It emphasises that in order to achieve the accumulation of human capital, emphasis should be entrusted on education and health.</t>
  </si>
  <si>
    <t>[Maity, Shrabanti] Vidyasagar Univ, Dept Econ Rural Dev, Midnapore, W Bengal, India; [Sinha, Anup] Karimganj Coll, Dept Commerce, Karimganj, Assam, India; [Roy, Niranjan] Assam Univ, Dept Econ, Silchar, India</t>
  </si>
  <si>
    <t>Maity, S (corresponding author), Vidyasagar Univ, Dept Econ Rural Dev, Midnapore, W Bengal, India.</t>
  </si>
  <si>
    <t>0972-5792</t>
  </si>
  <si>
    <t>2199-6873</t>
  </si>
  <si>
    <t>10.1007/s40847-023-00296-3</t>
  </si>
  <si>
    <t>Development Studies; Economics</t>
  </si>
  <si>
    <t>Development Studies; Business &amp; Economics</t>
  </si>
  <si>
    <t>Mudi, Naren; Shyamal, Milan; Giri, Prabhat Kumar; Samanta, Shashanka Shekhar; Ramirez-Tagle, Rodrigo; Misra, Ajay</t>
  </si>
  <si>
    <t>Anthracene scaffold as highly selective chemosensor for Al3+ and its AIEE activity (vol 22, pg 1491, 2023)</t>
  </si>
  <si>
    <t>[Mudi, Naren; Shyamal, Milan; Giri, Prabhat Kumar; Samanta, Shashanka Shekhar; Misra, Ajay] Vidyasagar Univ, Dept Chem, Midnapore 721102, WB, India; [Ramirez-Tagle, Rodrigo] Univ Amer, Fac Salud &amp; Ciencias Sociales, Santiago, Chile</t>
  </si>
  <si>
    <t>Vidyasagar University; Universidad de Las Americas - Chile</t>
  </si>
  <si>
    <t>Misra, A (corresponding author), Vidyasagar Univ, Dept Chem, Midnapore 721102, WB, India.</t>
  </si>
  <si>
    <t>10.1007/s43630-023-00445-x</t>
  </si>
  <si>
    <t>Mudi, N; Giri, PK; Samanta, SS; Mandal, U; Tagle, RR; Misra, A</t>
  </si>
  <si>
    <t>Mudi, Naren; Giri, Prabhat Kr.; Samanta, Shashanka Shekhar; Mandal, Usha; Tagle, Rodrigo Ramirez; Misra, Ajay</t>
  </si>
  <si>
    <t>2-Naphthol scaffold as selective colorimetric and fluorescence 'turn-on' sensor of PO43-</t>
  </si>
  <si>
    <t>INTERNATIONAL JOURNAL OF ENVIRONMENTAL ANALYTICAL CHEMISTRY</t>
  </si>
  <si>
    <t>PNOH; PO(4)(3-)sensor; INHIBIT logic gate; paper strip</t>
  </si>
  <si>
    <t>RECOGNITION; DESIGN; PROBE; WATER</t>
  </si>
  <si>
    <t>1-(Pyridin-2-yl-hydrazonomethyl)-naphthalen-2-ol (PNOH) is a naphthalene-based fluorescence chemo-sensor for PO43-. The probe (PNOH) is spectroscopically characterised and the chemo-sensing mechanism has been demonstrated through H-1 NMR, UV-Vis absorption and both steady-state and time resolved fluorescence study. Fluorescence 'turn-on' sensing knack of PNOH towards PO43- ion has been explained due to emission from the excited PNO- ion, formed upon transfer of phenolic proton of PNOH to PO43- ion in the excited state. The 1:1 stoichiometry of PNOH-PO43- complex is observed from Job's plot based on UV-Vis titration and the complex shows distinct yellowish-green colour to be used as colorimetric sensor for PO43-. Limit of detection (LOD) of PNOH towards PO43- is found to be 0.35 mu M. It is also demonstrated that the probe can be used to fabricate a convenient and efficient PO43- paper test kits as well as molecular INHIBIT logic gate.</t>
  </si>
  <si>
    <t>[Mudi, Naren; Giri, Prabhat Kr.; Samanta, Shashanka Shekhar; Mandal, Usha; Misra, Ajay] Vidyasagar Univ, Dept Chem, Midnapore, India; [Tagle, Rodrigo Ramirez] Univ Amer, Santiago, Chile</t>
  </si>
  <si>
    <t>0306-7319</t>
  </si>
  <si>
    <t>1029-0397</t>
  </si>
  <si>
    <t>10.1080/03067319.2023.2221194</t>
  </si>
  <si>
    <t>Chemistry, Analytical; Environmental Sciences</t>
  </si>
  <si>
    <t>Chemistry; Environmental Sciences &amp; Ecology</t>
  </si>
  <si>
    <t>Ghute, Bhagwan B.; Shaikh, Md Babar; Halder, Bijay</t>
  </si>
  <si>
    <t>Impact assessment of natural and anthropogenic activities using remote sensing and GIS techniques in the Upper Purna River basin, Maharashtra, India</t>
  </si>
  <si>
    <t>[Ghute, Bhagwan B.] Toshniwal Arts Commerce &amp; Sci Coll, Dept Geol, Hingoli 431542, Maharashtra, India; [Shaikh, Md Babar] Dnyanopasak Coll, Dept Geol, Parbhani 431401, Maharashtra, India; [Halder, Bijay] Vidyasagar Univ, Dept Remote Sensing &amp; GIS, Midnapore 721102, India</t>
  </si>
  <si>
    <t>Toshniwal Arts Commerce &amp; Science College; Vidyasagar University</t>
  </si>
  <si>
    <t>10.1007/s40808-022-01576-3</t>
  </si>
  <si>
    <t>Jaikumar, RV; Raman, S; Pal, M</t>
  </si>
  <si>
    <t>Jaikumar, R. V.; Raman, Sundareswaran; Pal, Madhumangal</t>
  </si>
  <si>
    <t>Perfect score function in picture fuzzy set and its applications in decision-making problems</t>
  </si>
  <si>
    <t>[Jaikumar, R. V.] St Josephs Inst Technol, Dept Math, OMR, Chennai, Tamil Nadu, India; [Raman, Sundareswaran] Sri Sivasubramaniya Nadar Coll Engn, Dept Math, Chennai, Tamil Nadu, India; [Pal, Madhumangal] Vidyasagar Univ, Dept Appl Math Oceanol &amp; Comp Programming, Midnapore, India</t>
  </si>
  <si>
    <t>SSN College of Engineering; Vidyasagar University</t>
  </si>
  <si>
    <t>Raman, S (corresponding author), Sri Sivasubramaniya Nadar Coll Engn, Dept Math, Chennai 603110, Tamil Nadu, India.</t>
  </si>
  <si>
    <t>10.3233/JIFS-223234</t>
  </si>
  <si>
    <t>Mandal, Goutam; Biswas, Sujay Kr; Saha, Subhajit; Al Mamon, Abdulla</t>
  </si>
  <si>
    <t>Dynamical system analysis of logotropic dark fluid with a power law in the rest-mass energy density</t>
  </si>
  <si>
    <t>PHYSICS OF THE DARK UNIVERSE</t>
  </si>
  <si>
    <t>[Mandal, Goutam; Biswas, Sujay Kr] Univ North Bengal, Dept Math, Darjeeling 734013, W Bengal, India; [Saha, Subhajit] Panihati Mahavidyalaya, Dept Math, Kolkata 700110, W Bengal, India; [Al Mamon, Abdulla] Vidyasagar Univ, Vivekananda Satavarshiki Mahavidyalaya, Dept Phys, Manikpara 721513, W Bengal, India</t>
  </si>
  <si>
    <t>Biswas, SK (corresponding author), Univ North Bengal, Dept Math, Darjeeling 734013, W Bengal, India.</t>
  </si>
  <si>
    <t>2212-6864</t>
  </si>
  <si>
    <t>10.1016/j.dark.2022.100970</t>
  </si>
  <si>
    <t>Astronomy &amp; Astrophysics</t>
  </si>
  <si>
    <t>Ganesan, Balaraman; Raman, Sundareswaran; Pal, Madhumangal</t>
  </si>
  <si>
    <t>Strong domination integrity in graphs and fuzzy graphs</t>
  </si>
  <si>
    <t>[Ganesan, Balaraman] St Josephs Inst Technol, Dept Math, Chennai, Tamil Nadu, India; [Raman, Sundareswaran] Sri Sivasubramaniya Nadar Coll Engn, Dept Math, Chennai, Tamil Nadu, India; [Pal, Madhumangal] Vidyasagar Univ, Dept Appl Math Oceanol &amp; Comp Programming, Midnapore, India</t>
  </si>
  <si>
    <t>Pal, M (corresponding author), Vidyasagar Univ, Dept Appl Math Oceanol &amp; Comp Programming, Midnapore, India.</t>
  </si>
  <si>
    <t>10.3233/JIFS-213189</t>
  </si>
  <si>
    <t>Biswas, S; Mortoja, SG; Bera, RK; Bhattacharya, S</t>
  </si>
  <si>
    <t>Biswas, Sukdev; Mortoja, Sk Golam; Bera, Ritesh Kumar; Bhattacharya, Sabyasachi</t>
  </si>
  <si>
    <t>Bacteria as ecosystem engineers: Unraveling clues through a novel functional response and tritrophic model</t>
  </si>
  <si>
    <t>ECOLOGICAL MODELLING</t>
  </si>
  <si>
    <t>Quorum sensing; Auto inducers; Paradox of enrichment; Cooperation; Group defense; Bistability</t>
  </si>
  <si>
    <t>PSEUDOMONAS-AERUGINOSA BIOFILMS; PREDATOR-PREY INTERACTIONS; CAENORHABDITIS-ELEGANS; GRAZING RESISTANCE; ESCHERICHIA-COLI; BIFURCATION; DYNAMICS; PROTECTS; KINETICS; SURVIVAL</t>
  </si>
  <si>
    <t>Bacteria play a crucial role in regulating the nutrient cycle of ecosystems, making their abundance essential for the sustainability of these environments. Maintaining a thriving bacterial population is achieved through complex nutrient-bacteria-protozoa interactive dynamics, which can be likened to a tritrophic food chain model. The interaction between bacteria and protozoa is governed by a critical factor known as the bacteria- protozoa functional response, which serves as the foundation for developing this tritrophic model. However, existing functional responses have shown limitations in accurately describing the intricacies of the bacteria- protozoa interaction. One significant drawback is the neglect of bacterial behavioral traits. To address this issue, we consider the concept of cooperation as a group defense mechanism employed by bacteria facilitated through a quorum-sensing communication process. By incorporating the cooperation trait into the functional response, our model offers a more comprehensive understanding of the complex tritrophic food chain dynamics. We evaluate the stability of different equilibrium points, along with Hopf-bifurcation around the coexistence equilibrium point. We find that a balance between strong group defense and moderate cooperation is essential for bacteria sustainability and overall system stability. Our results also elaborately address the effects of the increasing group defense through the bistable equilibrium followed by a branch point and saddle-node bifurcation. Through comprehensive analyses and simulations, we examine the paradox of enrichment in nutrition flow at the community level and explore how nutrient washout controls system stability. This innovation not only enhances our comprehension of ecosystem sustainability but also opens up new avenues for studying the intricate relationships that govern the overall balance of nature.</t>
  </si>
  <si>
    <t>[Biswas, Sukdev; Bera, Ritesh Kumar; Bhattacharya, Sabyasachi] Indian Stat Inst, Agr &amp; Ecol Res Unit, 203 Barrackpore Trunk Rd, Kolkata 700108, West Bengal, India; [Mortoja, Sk Golam] Vidyasagar Univ, Dept Appl Math Oceanol &amp; Comp Programming, VU Rd, Midnapore 721102, West Bengal, India</t>
  </si>
  <si>
    <t>Indian Statistical Institute; Indian Statistical Institute Kolkata; Vidyasagar University</t>
  </si>
  <si>
    <t>Bhattacharya, S (corresponding author), Indian Stat Inst, Agr &amp; Ecol Res Unit, 203 Barrackpore Trunk Rd, Kolkata 700108, West Bengal, India.</t>
  </si>
  <si>
    <t>0304-3800</t>
  </si>
  <si>
    <t>1872-7026</t>
  </si>
  <si>
    <t>10.1016/j.ecolmodel.2023.110561</t>
  </si>
  <si>
    <t>Ecology</t>
  </si>
  <si>
    <t>Samanta, Shashanka Shekhar; Mandal, Usha; Das, Bhriguram; Mandal, Sourav; Upadhyay, Priyanka; Singh, Thoudam Debraj; Misra, Ajay</t>
  </si>
  <si>
    <t>Rhodamine B-Quinoline based schiff base as fluorescent 'turn on' sensor of Al3+, Cr3+, HSO4- and its cytotoxicity and cell imaging application on TPC-1 and HtH-7 cell lines</t>
  </si>
  <si>
    <t>[Samanta, Shashanka Shekhar; Mandal, Usha; Das, Bhriguram; Mandal, Sourav; Misra, Ajay] Vidyasagar Univ, Dept Chem, Midnapore 721102, W Bengal, India; [Upadhyay, Priyanka; Singh, Thoudam Debraj] All India Inst Med Sci AIIMS, Dept Med Oncol Lab, New Delhi 110029, India</t>
  </si>
  <si>
    <t>Vidyasagar University; All India Institute of Medical Sciences (AIIMS) New Delhi</t>
  </si>
  <si>
    <t>10.1016/j.jphotochem.2023.114806</t>
  </si>
  <si>
    <t>Paul, Tapas Kumar; Jana, Chiranjibe; Pal, Madhumangal; Simic, Vladimir</t>
  </si>
  <si>
    <t>Sustainable carbon-dioxide storage assessment in geological media using modified Pythagorean fuzzy VIKOR and DEMATEL approach</t>
  </si>
  <si>
    <t>INTERNATIONAL JOURNAL OF HYDROGEN ENERGY</t>
  </si>
  <si>
    <t>[Paul, Tapas Kumar; Jana, Chiranjibe; Pal, Madhumangal] Vidyasagar Univ, Dept Appl Math Oceanol &amp; Comp Programming, Midnapore 721102, India; [Simic, Vladimir] Univ Belgrade, Fac Transport &amp; Traff Engn, VojvodeStepe 305, Belgrade 11010, Serbia</t>
  </si>
  <si>
    <t>Vidyasagar University; University of Belgrade</t>
  </si>
  <si>
    <t>0360-3199</t>
  </si>
  <si>
    <t>1879-3487</t>
  </si>
  <si>
    <t>10.1016/j.ijhydene.2022.12.024</t>
  </si>
  <si>
    <t>Chemistry, Physical; Electrochemistry; Energy &amp; Fuels</t>
  </si>
  <si>
    <t>Chemistry; Electrochemistry; Energy &amp; Fuels</t>
  </si>
  <si>
    <t>Ghosh, Kausik; Chakraborty, Tapan</t>
  </si>
  <si>
    <t>Impact of human intervention structures on the rivers: An investigation of the spatiotemporal variation of grain size in the Tista River, eastern Himalayas</t>
  </si>
  <si>
    <t>EARTH SURFACE PROCESSES AND LANDFORMS</t>
  </si>
  <si>
    <t>[Ghosh, Kausik] Vidyasagar Univ, Dept Geog, Midnapore 721102, India; [Chakraborty, Tapan] Indian Stat Inst, Geol Studies Unit, Kolkata, India</t>
  </si>
  <si>
    <t>Vidyasagar University; Indian Statistical Institute; Indian Statistical Institute Kolkata</t>
  </si>
  <si>
    <t>Ghosh, K (corresponding author), Vidyasagar Univ, Dept Geog, Midnapore 721102, India.</t>
  </si>
  <si>
    <t>0197-9337</t>
  </si>
  <si>
    <t>1096-9837</t>
  </si>
  <si>
    <t>10.1002/esp.5374</t>
  </si>
  <si>
    <t>Geography, Physical; Geosciences, Multidisciplinary</t>
  </si>
  <si>
    <t>Physical Geography; Geology</t>
  </si>
  <si>
    <t>Maji, A; Bhunia, AK; Mondal, SK</t>
  </si>
  <si>
    <t>Maji, Anushri; Bhunia, Asoke Kumar; Mondal, Shyamal Kumar</t>
  </si>
  <si>
    <t>A production-reliability-inventory model for a series-parallel system with mixed strategy considering shortage, warranty period, credit period in crisp and stochastic sense</t>
  </si>
  <si>
    <t>[Maji, Anushri; Mondal, Shyamal Kumar] Vidyasagar Univ, Dept Appl Math Oceanol &amp; Comp Programming, Midnapore 721102, WB, India; [Bhunia, Asoke Kumar] Univ Burdwan, Dept Math, Burdwan 713104, W Bengal, India</t>
  </si>
  <si>
    <t>Vidyasagar University; University of Burdwan</t>
  </si>
  <si>
    <t>10.1007/s12597-022-00578-0</t>
  </si>
  <si>
    <t>Kar, Bappa Sona; Goswami, M. N.; Jana, P. C.</t>
  </si>
  <si>
    <t>Enhancement of dielectric and multiferroic properties in Sr-modified 0.7BaTiO3-0.3ZnFe2O4 ceramics</t>
  </si>
  <si>
    <t>[Kar, Bappa Sona; Jana, P. C.] Vidyasagar Univ, Dept Phys &amp; Techno Phys, Midnapore, W Bengal, India; [Goswami, M. N.] Midnapore Coll Autonomous, Dept Phys PG &amp; UG, Midnapore, W Bengal, India; [Kar, Bappa Sona] Panskura Banamali Coll Autonomous, Dept Phys PG &amp; UG, Panskura, W Bengal, India</t>
  </si>
  <si>
    <t>Kar, BS (corresponding author), Vidyasagar Univ, Dept Phys &amp; Techno Phys, Midnapore, W Bengal, India.;Kar, BS (corresponding author), Panskura Banamali Coll Autonomous, Dept Phys PG &amp; UG, Panskura, W Bengal, India.</t>
  </si>
  <si>
    <t>10.1007/s10854-022-07879-6</t>
  </si>
  <si>
    <t>Meikap, Sudipta; Jana, Biswapati; Lu, Tzu-Chuen</t>
  </si>
  <si>
    <t>Context pixel-based reversible data hiding scheme using pixel value ordering</t>
  </si>
  <si>
    <t>VISUAL COMPUTER</t>
  </si>
  <si>
    <t>[Meikap, Sudipta; Jana, Biswapati] Vidyasagar Univ, Dept Comp Sci, Midnapore 721102, W Bengal, India; [Meikap, Sudipta] Hijli Coll, Dept Comp Sci, Rangamatia 721306, W Bengal, India; [Lu, Tzu-Chuen] Chaoyang Univ Technol, Dept Informat Management, Taichung 41349, Taiwan</t>
  </si>
  <si>
    <t>Vidyasagar University; Chaoyang University of Technology</t>
  </si>
  <si>
    <t>Meikap, S (corresponding author), Vidyasagar Univ, Dept Comp Sci, Midnapore 721102, W Bengal, India.;Meikap, S (corresponding author), Hijli Coll, Dept Comp Sci, Rangamatia 721306, W Bengal, India.</t>
  </si>
  <si>
    <t>0178-2789</t>
  </si>
  <si>
    <t>1432-2315</t>
  </si>
  <si>
    <t>VISUAL COMPUT</t>
  </si>
  <si>
    <t>Visual Comput.</t>
  </si>
  <si>
    <t>10.1007/s00371-023-03050-2</t>
  </si>
  <si>
    <t>Computer Science, Software Engineering</t>
  </si>
  <si>
    <t>Majumder, Soumi; Chowdhury, Soumalya; Dey, Nilanjan; Santosh, K. C.</t>
  </si>
  <si>
    <t>Balance Your Work-Life: Personal Interactive Web-Interface</t>
  </si>
  <si>
    <t>INTERNATIONAL JOURNAL OF INTERACTIVE MULTIMEDIA AND ARTIFICIAL INTELLIGENCE</t>
  </si>
  <si>
    <t>[Majumder, Soumi] Vidyasagar Univ, Dept Business Adm, Midnapore, W Bengal, India; [Chowdhury, Soumalya; Dey, Nilanjan] JIS Univ, Dept Comp Sci &amp; Engn, Kolkata, W Bengal, India; [Santosh, K. C.] Univ South Dakota, KCs PAMI Res Lab, Comp Sci, Vermillion, SD 57069 USA</t>
  </si>
  <si>
    <t>Vidyasagar University; University of South Dakota</t>
  </si>
  <si>
    <t>UNIV INT RIOJA-UNIR</t>
  </si>
  <si>
    <t>LOGRONO</t>
  </si>
  <si>
    <t>RECTORADO, AVENIDA DE LA PAZ, 137, LOGRONO, 26006, SPAIN</t>
  </si>
  <si>
    <t>1989-1660</t>
  </si>
  <si>
    <t>10.9781/ijimai.2021.08.016</t>
  </si>
  <si>
    <t>gold, Green Submitted</t>
  </si>
  <si>
    <t>Sarkar, Avik; Panati, Kalpana; Narala, Venkata Ramireddy</t>
  </si>
  <si>
    <t>Code inside the codon: The role of synonymous mutations in regulating splicing machinery and its impact on disease</t>
  </si>
  <si>
    <t>MUTATION RESEARCH-REVIEWS IN MUTATION RESEARCH</t>
  </si>
  <si>
    <t>[Panati, Kalpana] Vidyasagar Univ, Dept Zool, Midnapore 721102, West Bengal, India; [Narala, Venkata Ramireddy] Govt Coll Men, Dept Biotechnol, Kadapa 516004, India; [Narala, Venkata Ramireddy] Yogi Vemana Univ, Dept Zool, Kadapa 516005, Andhra Pradesh, India</t>
  </si>
  <si>
    <t>Vidyasagar University; Yogi Vemana University</t>
  </si>
  <si>
    <t>Narala, VR (corresponding author), Yogi Vemana Univ, Dept Zool, Kadapa 516005, Andhra Pradesh, India.</t>
  </si>
  <si>
    <t>1383-5742</t>
  </si>
  <si>
    <t>1388-2139</t>
  </si>
  <si>
    <t>10.1016/j.mrrev.2022.108444</t>
  </si>
  <si>
    <t>Biotechnology &amp; Applied Microbiology; Genetics &amp; Heredity; Toxicology</t>
  </si>
  <si>
    <t>Kotogan, Alexandra; Furka, Zsofia Terezia; Kovacs, Tamas; Volford, Bettina; Papp, Dora Anna; Varga, Monika; Huynh, Thu; Szekeres, Andras; Papp, Tamas; Vagvolgyi, Csaba; Mondal, Keshab Chandra; Kerekes, Erika Beata; Tako, Miklos</t>
  </si>
  <si>
    <t>Hydrolysis of Edible Oils by Fungal Lipases: An Effective Tool to Produce Bioactive Extracts with Antioxidant and Antimicrobial Potential</t>
  </si>
  <si>
    <t>FOODS</t>
  </si>
  <si>
    <t>[Kotogan, Alexandra; Furka, Zsofia Terezia; Kovacs, Tamas; Volford, Bettina; Papp, Dora Anna; Varga, Monika; Huynh, Thu; Szekeres, Andras; Papp, Tamas; Vagvolgyi, Csaba; Kerekes, Erika Beata; Tako, Miklos] Univ Szeged, Dept Microbiol, Fac Sci &amp; Informat, Kozep fasor 52, H-6726 Szeged, Hungary; [Mondal, Keshab Chandra] Vidyasagar Univ, Dept Microbiol, Midnapore 721102, India</t>
  </si>
  <si>
    <t>Szeged University; Vidyasagar University</t>
  </si>
  <si>
    <t>Takó, M (corresponding author), Univ Szeged, Dept Microbiol, Fac Sci &amp; Informat, Kozep fasor 52, H-6726 Szeged, Hungary.</t>
  </si>
  <si>
    <t>2304-8158</t>
  </si>
  <si>
    <t>10.3390/foods11121711</t>
  </si>
  <si>
    <t>gold, Green Accepted, Green Published</t>
  </si>
  <si>
    <t>Reliability dependent production-inventory model for redundancy allocation via fuzzy logic</t>
  </si>
  <si>
    <t>Production-reliability-inventory model; fuzzy logic; fuzzy inference techniques; RAP; NSGA-II</t>
  </si>
  <si>
    <t>VENDOR MANAGED INVENTORY; MANUFACTURING BATCH SIZE; REWORK PROCESS; OPTIMIZATION; COMPONENTS; STRATEGY; FAILURE; SYSTEMS; ALGORITHMS; DISCOUNT</t>
  </si>
  <si>
    <t>This study deals with a reliability dependent production-inventory model in two scenarios: a redundancy allocation with crisp structure and the other with fuzzy logic. Here, a manufacturer purchases some raw-materials/components in variable cycles and arranges them as series-parallel system to produce a single item with production cost dependent on system reliability. In this model, a retailer gets the opportunity of warranty period and credit period offered by the manufacturer. Also, the retailer's demand is dependent on system reliability, credit period and selling price. In the crisp model, the component reliability is exponentially dependent on known failure rate and failure time. However, there is no dependent relationship between these two parameters. Actually, the real world is full of uncertainty and these two parameters may depend on each other following some uncertain nature which can be expressed as fuzzy logic. So, in the fuzzy model, failure time has been considered as dependent on failure rate following fuzzy logic and these fuzzy relations are defuzzified by using three fuzzy inference techniques: Mamdani, Sugeno and Tsukamoto. Main goal of this article is to determine the optimum number of cycles and components to maximize manufacturer's profit and system reliability with some constraints. The model is solved by using elitist non-dominated sorting genetic algorithm (NSGA-II) and some numerical examples closed to real-world have been executed. Comparative analyses are done for different cases; different fuzzy inference techniques and for active and mixed strategies. Finally, some sensitivity analyses and managerial insights are drawn.</t>
  </si>
  <si>
    <t>[Maji, Anushri; Mondal, Shyamal Kumar] Vidyasagar Univ, Dept Appl Math, Midnapore 721102, West Bengal, India; [Bhunia, Asoke Kumar] Univ Burdwan, Dept Math, Burdwan 713104, West Bengal, India</t>
  </si>
  <si>
    <t>Mondal, SK (corresponding author), Vidyasagar Univ, Dept Appl Math, Midnapore 721102, West Bengal, India.</t>
  </si>
  <si>
    <t>OCT 14</t>
  </si>
  <si>
    <t>10.1051/ro/2024133</t>
  </si>
  <si>
    <t>Mondal, Arijit; Roy, Sankar Kumar; Pamucar, Dragan</t>
  </si>
  <si>
    <t>Regret-based three-way decision making with possibility dominance and SPA theory in incomplete information system</t>
  </si>
  <si>
    <t>[Mondal, Arijit; Roy, Sankar Kumar] Vidyasagar Univ, Dept Appl Math Oceanol &amp; Comp Programming, Midnapore 721102, West Bengal, India; [Pamucar, Dragan] Univ Belgrade, Fac Org Sci, Dept Operat Res &amp; Stat, Belgrade, Serbia</t>
  </si>
  <si>
    <t>10.1016/j.eswa.2022.118688</t>
  </si>
  <si>
    <t>Banerjee, Jhimli; Hasan, Sk Nurul; Samanta, Sovan; Giri, Biplab; Bag, Braja Gopal; Dash, Sandeep Kumar</t>
  </si>
  <si>
    <t>Self-Assembled Maslinic Acid Attenuates Doxorobucin Induced Cytotoxicity via Nrf2 Signaling Pathway: An In Vitro and In Silico Study in Human Healthy Cells</t>
  </si>
  <si>
    <t>CELL BIOCHEMISTRY AND BIOPHYSICS</t>
  </si>
  <si>
    <t>[Banerjee, Jhimli; Samanta, Sovan; Giri, Biplab; Dash, Sandeep Kumar] Univ Gour Banga, Dept Physiol, Malda 732103, W Bengal, India; [Hasan, Sk Nurul; Bag, Braja Gopal] Vidyasagar Univ, Dept Chem &amp; Chem Technol, Midnapore 721102, W Bengal, India</t>
  </si>
  <si>
    <t>Dash, SK (corresponding author), Univ Gour Banga, Dept Physiol, Malda 732103, W Bengal, India.;Bag, BG (corresponding author), Vidyasagar Univ, Dept Chem &amp; Chem Technol, Midnapore 721102, W Bengal, India.</t>
  </si>
  <si>
    <t>HUMANA PRESS INC</t>
  </si>
  <si>
    <t>TOTOWA</t>
  </si>
  <si>
    <t>999 RIVERVIEW DRIVE SUITE 208, TOTOWA, NJ 07512 USA</t>
  </si>
  <si>
    <t>1085-9195</t>
  </si>
  <si>
    <t>1559-0283</t>
  </si>
  <si>
    <t>10.1007/s12013-022-01083-3</t>
  </si>
  <si>
    <t>Biochemistry &amp; Molecular Biology; Biophysics; Cell Biology</t>
  </si>
  <si>
    <t>Dan, Siddhartha; Upadhyay, Sushil Kumar; Girdhar, Mansi; Mandal, Mahasweta; Sakshi</t>
  </si>
  <si>
    <t>Oral Carcinoma and Therapeutic Approaches of Nanotechnology: From Fundamental Concepts, Incidence, Molecular Mechanism to Emerging Treatment Techniques</t>
  </si>
  <si>
    <t>BIOINTERFACE RESEARCH IN APPLIED CHEMISTRY</t>
  </si>
  <si>
    <t>[Dan, Siddhartha] IK Gujral Punjab Tech Univ Jalandhar, Dept Biotechnol, Jalandhar, Punjab, India; [Upadhyay, Sushil Kumar; Girdhar, Mansi; Sakshi] Maharishi Markandeshwar Deemed Univ, Dept Biotechnol, Ambala 133207, Haryana, India; [Mandal, Mahasweta] Vidyasagar Univ, Oriental Inst Sci &amp; Technol, Dept Biotechnol, Midnapore, India</t>
  </si>
  <si>
    <t>I. K. Gujral Punjab Technical University; Vidyasagar University</t>
  </si>
  <si>
    <t>Upadhyay, SK (corresponding author), Maharishi Markandeshwar Deemed Univ, Dept Biotechnol, Ambala 133207, Haryana, India.</t>
  </si>
  <si>
    <t>AMG TRANSCEND ASSOC</t>
  </si>
  <si>
    <t>POLIZU ST 1-7, BUILDING I, ROOM, I-102, BUCHAREST, ROMANIA</t>
  </si>
  <si>
    <t>2069-5837</t>
  </si>
  <si>
    <t>10.33263/BRIAC123.39003937</t>
  </si>
  <si>
    <t>Chemistry, Applied</t>
  </si>
  <si>
    <t>The optimized picture fuzzy weighted geometric operator for decision-making processes and its applications to ambient air pollution</t>
  </si>
  <si>
    <t>Picture fuzzy set; Perfect score function; Weighted geometric operator; Decision making; Ambient air pollution</t>
  </si>
  <si>
    <t>AGGREGATION OPERATORS; SIMILARITY MEASURES; SETS</t>
  </si>
  <si>
    <t>The aggregation operator is a popular tool for dealing with multi-criteria decision-making (MCDM) problems. An MCDM technique based on the optimized picture fuzzy weighted geometric operator (OPFWGO) is proposed in this article. First, the drawbacks of various existing picture fuzzy-weighted geometric aggregation operators (PFWGOs) that lead to imprecise outcomes in some exceptional instances are investigated. Second, an OPFWGO is proposed to address the shortcomings of existing PFWGOs. Furthermore, the suggested OPFWGO's properties such as idempotency, boundedness, monotonicity, and commutativity are explored. Numerical examples demonstrate that our proposed operator and corresponding MCDM approach are efficient and reasonable enough to prevent ambiguous results in exceptional instances. Finally, we applied the proposed method to rank the World Health Organization regions for air pollution control.</t>
  </si>
  <si>
    <t>[Jaikumar, R. V.] St Josephs Inst Technol, Dept Math, OMR, Chennai 600119, Tamilnadu, India; [Raman, Sundareswaran] Sri Sivasubramaniya Nadar Coll Engn, Dept Math, Chennai 603103, Tamilnadu, India; [Pal, Madhumangal] Vidyasagar Univ, Dept Appl Math Oceanol &amp; Comp Programming, Midnapore 721102, W Bengal, India</t>
  </si>
  <si>
    <t>Jaikumar, RV (corresponding author), St Josephs Inst Technol, Dept Math, OMR, Chennai 600119, Tamilnadu, India.</t>
  </si>
  <si>
    <t>10.1007/s12190-024-02065-9</t>
  </si>
  <si>
    <t>Oblique rotational dynamics of chemically reacting tri-hybridized nanofluids over a suddenly moved plate subject to Hall and ion slip currents, Newtonian heating and mass fluxes</t>
  </si>
  <si>
    <t>JOURNAL OF THE INDIAN CHEMICAL SOCIETY</t>
  </si>
  <si>
    <t>[Ali, Asgar] Bajkul Milani Mahavidyalaya, Dept Math, Bajkul 721655, India; [Das, Sanatan] Univ Gour Banga, Dept Math, Malda 732103, India; [Jana, R. N.] Vidyasagar Univ, Dept Appl Math, Midnapore 721102, India</t>
  </si>
  <si>
    <t>Ali, A (corresponding author), Bajkul Milani Mahavidyalaya, Dept Math, Bajkul 721655, India.</t>
  </si>
  <si>
    <t>0019-4522</t>
  </si>
  <si>
    <t>10.1016/j.jics.2023.100983</t>
  </si>
  <si>
    <t>Bera, Sanchari; Muhiuddin, Ghulam; Pal, Madhumangal</t>
  </si>
  <si>
    <t>Facility location problem using the concept of double domination in m-polar interval-valued fuzzy graph</t>
  </si>
  <si>
    <t>[Bera, Sanchari; Pal, Madhumangal] Vidyasagar Univ, Dept Appl Math Oceanol &amp; Comp Programming, Midnapore, India; [Muhiuddin, Ghulam] Univ Tabuk, Dept Math, Fac Sci, Tabuk, Saudi Arabia</t>
  </si>
  <si>
    <t>Vidyasagar University; University of Tabuk</t>
  </si>
  <si>
    <t>10.3233/JIFS-223054</t>
  </si>
  <si>
    <t>Mondal, Uttam Kr; Debnath, Asish</t>
  </si>
  <si>
    <t>Designing a novel lossless audio compression technique with the help of optimized graph traversal (LACOGT)</t>
  </si>
  <si>
    <t>[Mondal, Uttam Kr] Vidyasagar Univ, Dept Comp Sci, Midnapore 721102, WB, India; [Debnath, Asish] Tata Consultancy Serv Ltd, Kolkata, WB, India</t>
  </si>
  <si>
    <t>Vidyasagar University; Tata Sons; Tata Consultancy Services Limited (TCS)</t>
  </si>
  <si>
    <t>Mondal, UK (corresponding author), Vidyasagar Univ, Dept Comp Sci, Midnapore 721102, WB, India.</t>
  </si>
  <si>
    <t>10.1007/s11042-022-12556-1</t>
  </si>
  <si>
    <t>Gütmen, S; Roy, SK; Weber, GW</t>
  </si>
  <si>
    <t>Gutmen, Selma; Roy, Sankar Kumar; Weber, Gerhard-Wilhelm</t>
  </si>
  <si>
    <t>An overview of weighted goal programming: a multi-objective transportation problem with some fresh viewpoints</t>
  </si>
  <si>
    <t>CENTRAL EUROPEAN JOURNAL OF OPERATIONS RESEARCH</t>
  </si>
  <si>
    <t>Weighted goal programming; Multi-objective decision making; Transportation problem</t>
  </si>
  <si>
    <t>SUSTAINABLE DEVELOPMENT; MODEL; MANAGEMENT</t>
  </si>
  <si>
    <t>Goal programming (GP) is one of the widely used and effective method of solving real-world multi-objective decision-making problems. The term multi-objective transportation problem (MOTP) covers a specific class of vector maximum (minimum) linear programming problem that typically has multiple, competing, and incompatible objective functions. In this article, GP and weighted goal programming (WGP) are summarized in MOTP. Furthermore, its advantages over GP are illustrated by a theorem. Additionally, by utilizing WGP, a solution procedure is articulated for MOTP. Finally, an application on screen-panels of mobile devices is presented to explore the applicability. The paper ends with a conclusion and including an outlook to future studies, whereby we address internal and external transportation, and view the internal one with a broader understanding of logistics.</t>
  </si>
  <si>
    <t>[Gutmen, Selma; Weber, Gerhard-Wilhelm] Poznan Univ Tech, Fac Engn Management, Poznan, Poland; [Roy, Sankar Kumar] Vidyasagar Univ, Dept Appl Math Oceanol &amp; Comp Programming, Midnapore 721102, West Bengal, India; [Weber, Gerhard-Wilhelm] IAM METU, Ankara, Turkiye</t>
  </si>
  <si>
    <t>Poznan University of Technology; Vidyasagar University</t>
  </si>
  <si>
    <t>1435-246X</t>
  </si>
  <si>
    <t>1613-9178</t>
  </si>
  <si>
    <t>10.1007/s10100-023-00861-5</t>
  </si>
  <si>
    <t>Mandal, Prasenjit; Samanta, Sovan; Pal, Madhumandal; Ranadive, Abhay Sharad Chandra</t>
  </si>
  <si>
    <t>Social network trust relationship environment based advanced ovarian cancer treatment decision-making model: An approach based on linguistic information with experts' multiple confidence levels</t>
  </si>
  <si>
    <t>[Mandal, Prasenjit; Pal, Madhumandal] Vidyasagar Univ, Dept Appl Math Oceanol &amp; Comp Programming, Midnapore 721102, WB, India; [Samanta, Sovan] Tamralipta Mahavidyalaya, Dept Math, Tamluk 721636, WB, India; [Ranadive, Abhay Sharad Chandra] Guru Ghasidas Univ, Dept Pure &amp; Appl Math, Bilaspur 495009, CG, India</t>
  </si>
  <si>
    <t>10.1016/j.eswa.2023.120407</t>
  </si>
  <si>
    <t>Ali, Asgar; Das, Sanatan; Jana, Rabindra Nath</t>
  </si>
  <si>
    <t>MHD gyrating stream of non-Newtonian modified hybrid nanofluid past a vertical plate with ramped motion, Newtonian heating and Hall currents</t>
  </si>
  <si>
    <t>ZAMM-ZEITSCHRIFT FUR ANGEWANDTE MATHEMATIK UND MECHANIK</t>
  </si>
  <si>
    <t>[Ali, Asgar] Bajkul Milani Mahavidyalaya, Dept Math, Purba Medinipur, India; [Das, Sanatan] Univ Gour Banga, Dept Math, Malda, India; [Jana, Rabindra Nath] Vidyasagar Univ, Dept Appl Math, Midnapore, India</t>
  </si>
  <si>
    <t>Ali, A (corresponding author), Bajkul Milani Mahavidyalaya, Dept Math, Purba Medinipur, India.</t>
  </si>
  <si>
    <t>0044-2267</t>
  </si>
  <si>
    <t>1521-4001</t>
  </si>
  <si>
    <t>10.1002/zamm.202200080</t>
  </si>
  <si>
    <t>Mathematics, Applied; Mechanics</t>
  </si>
  <si>
    <t>Biswas, Amiya; Roy, Sankar Kumar; Mondal, Sankar Prasad</t>
  </si>
  <si>
    <t>Evolutionary algorithm based approach for solving transportation problems in normal and pandemic scenario</t>
  </si>
  <si>
    <t>[Biswas, Amiya] Durgapur Govt Coll, Dept Math, Durgapur 713214, India; [Roy, Sankar Kumar] Vidyasagar Univ, Dept Appl Math Oceanol &amp; Comp Programming, Midnapore 721102, W Bengal, India; [Mondal, Sankar Prasad] Maulana Abul Kalam Azad Univ Technol, Dept Appl Math, Kolkata, W Bengal, India</t>
  </si>
  <si>
    <t>Biswas, A (corresponding author), Durgapur Govt Coll, Dept Math, Durgapur 713214, India.</t>
  </si>
  <si>
    <t>10.1016/j.asoc.2022.109576</t>
  </si>
  <si>
    <t>Pal, Kalyanbrata; Rakshit, Subham; Mondal, Subhadeep; Jana, Arijit; Mondal, Keshab Chandra; Halder, Suman Kumar</t>
  </si>
  <si>
    <t>Reutilization of waste fungal biomass for concomitant production of proteo- chitinolytic enzymes and their catalytic products by Alcaligenes faecalis SK10</t>
  </si>
  <si>
    <t>[Pal, Kalyanbrata; Rakshit, Subham; Mondal, Keshab Chandra; Halder, Suman Kumar] Vidyasagar Univ, Dept Microbiol, Midnapore 721102, West Bengal, India; [Mondal, Subhadeep] Vidyasagar Univ, Ctr Life Sci, Midnapore 721102, West Bengal, India; [Jana, Arijit] Indian Inst Petr, Mat Resource Efficiency Div, CSIR, Dehra Dun 248005, Uttarakhand, India</t>
  </si>
  <si>
    <t>Vidyasagar University; Vidyasagar University; Council of Scientific &amp; Industrial Research (CSIR) - India; CSIR - Indian Institute of Petroleum (IIP)</t>
  </si>
  <si>
    <t>Halder, SK (corresponding author), Vidyasagar Univ, Dept Microbiol, Midnapore 721102, West Bengal, India.</t>
  </si>
  <si>
    <t>10.56042/ijeb.v60i09.65140</t>
  </si>
  <si>
    <t>Das, S; Karmakar, P; Ali, A; Patra, RR; Jana, RN</t>
  </si>
  <si>
    <t>Das, Sanatan; Karmakar, Poly; Ali, Asgar; Patra, Ruma Rani; Jana, Rabindra Nath</t>
  </si>
  <si>
    <t>Shear-driven flow of an ionic fluid in a narrow vertical channel under a Hall electric field</t>
  </si>
  <si>
    <t>INCLINED MAGNETIC-FIELD; ROTATING CHANNEL; NATURAL-CONVECTION; POROUS-MEDIUM; COUETTE-FLOW; THERMAL-RADIATION; MHD FLOW</t>
  </si>
  <si>
    <t>This paper focuses on demonstrating the shear-driven convective flow of an ionic optically thin fluid in a narrow channel formed by two vertical parallel plates subject to a Hall electric field. The Hall electric field induces Hall currents, amending the flow dynamics of the ionic fluid. The setup involves a stationary left wall and a right wall that either undergoes impulsive motion (IM) or accelerated motion (AM), which initiates the fluid flow. A unified closed-form solution for flow-regulating equations is derived by harnessing the Laplace transform (LT) approach. The upshots of cardinal parameters on the velocity components and temperature distributions, shear stresses, and rate of heat transfer (RHT) are elucidated via graphics for both IM and AM scenarios. The graphs reveal that an intensification in the Hall parameter notably boosts the velocity components in both IM and AM cases. The primary and secondary velocities are consistently higher for IM than AM. The magnitude of shear stresses at the moving wall is always greater for IM than AM. Additionally, the shear stresses at the moving wall are notably greater for IM than AM, and the RHT at the moving wall reduces as the radiation parameter amplifies. The significant findings of this research have potential applications in electromagnetic propulsion systems, like plasma or ion thrusters, commonly employed in propelling spacecraft.</t>
  </si>
  <si>
    <t>[Das, Sanatan; Karmakar, Poly] Univ Gour Banga, Dept Math, Malda 732103, India; [Ali, Asgar] Bajkul Milani Mahavidyalaya, Dept Math, Purba Medinipur, India; [Patra, Ruma Rani; Jana, Rabindra Nath] Vidyasagar Univ, Dept Appl Math, Midnapore, India</t>
  </si>
  <si>
    <t>10.1002/zamm.202301079</t>
  </si>
  <si>
    <t>Ghosh, TN; Bhunia, AK; Pradhan, SS; Samui, R; Saha, S; Saha, SC</t>
  </si>
  <si>
    <t>Ghosh, Tilak Narayan; Bhunia, Amit Kumar; Pradhan, Sitangshu S.; Samui, Rajesh; Saha, Satyajit; Saha, Subhas Chandra</t>
  </si>
  <si>
    <t>2D nanomaterial-polymer composite: optical and structural properties along with room temperature enhanced dielectric response and magnetic behaviour of graphene oxide doped polyvinylpyrrolidone nanocomposites</t>
  </si>
  <si>
    <t>BLEND COMPOSITES; DEFECTS; CARBON; GO</t>
  </si>
  <si>
    <t>These days, because of their remarkable potential and mechanical, thermal, and microwave-absorbing qualities, researchers are focusing on graphene and graphene oxide (GO)-polymer composite-based materials for energy storage devices, supercapacitor applications, sensors, and conductive coatings. For the material of GO-polyvinylpyrrolidone (PVP) nanocomposites, the synthesis, characterization, and measurement of room temperature dielectric properties as a function of frequency and magnetic properties have been the main emphasis of this work. A modified Hummers and Offeman method was initially used to produce graphite into graphene oxide. Films of graphene oxide-polyvinylpyrrolidone (GO-PVP) nanocomposites with GO as 15, 30 and 50 wt% were prepared by solution mixing method. Optical absorption, emission, Raman spectrum and FESEM, TEM, XRD, and FT-IR studies was performed on the prepared nanocomposite polymer films. The direct band gap (value tuning from 2.38 to 4.38 eV) properties with semiconducting nature have been observed in the nanocomposites. The Urbach energy has been found to be 0.45, 1.5, 3.55, 3.15, 2 eV for PVP, GO, PVP-GO 15, 30, 50%, respectively. The good emission properties with fine quantum yield and band gap of 2.9 eV, the PVP-GO 50% behave as a better semiconductor nature. In the frequency range of 10 Hz to 10 kHz, and at room temperature, the dielectric characteristics of GO-PVP nanocomposites were measured. Using the measured data, the frequency dependence of the real (epsilon ') and imaginary components of the dielectric constant at room temperature was computed. Up to 500 Hz, the dielectric constant (epsilon ') declined as frequency increased; after that, it remained nearly constant. It is found that the dielectric constant in the investigated nanocomposites increased as the concentration of the GO increased (up to 50%) with very high value (achieved approximate to 2 x 104 for the first time). The magnetic properties (M-H measurement) of the GO-PVP composite at room temperature showed hysteresis nature with varying field parameters. The tensile stress of PVP-GO nanocomposites varies from 3535 to 4565 psi, while the tensile strain varies from 42 to 24% with the variation of the GO contents from 15 to 50%.</t>
  </si>
  <si>
    <t>[Ghosh, Tilak Narayan] Midnapore Coll, Dept Elect, Midnapore 721101, West Bengal, India; [Bhunia, Amit Kumar] Govt Gen Degree Coll Gopiballavpur 2, Dept Phys, Jhargram 721517, West Bengal, India; [Pradhan, Sitangshu S.] Midnapore Coll, Dept Phys, Midnapore 721101, West Bengal, India; [Samui, Rajesh; Saha, Satyajit] Vidyasagar Univ, Dept Phys, Midnapore 721102, West Bengal, India; [Saha, Subhas Chandra] Vidyasagar Univ, Dept Elect, Midnapore 721102, West Bengal, India</t>
  </si>
  <si>
    <t>Midnapore College; Midnapore College; Vidyasagar University; Vidyasagar University</t>
  </si>
  <si>
    <t>Bhunia, AK (corresponding author), Govt Gen Degree Coll Gopiballavpur 2, Dept Phys, Jhargram 721517, West Bengal, India.</t>
  </si>
  <si>
    <t>10.1007/s10854-024-12881-1</t>
  </si>
  <si>
    <t>Laha, A; Sarkar, A; Panja, AS; Bandopadhyay, R</t>
  </si>
  <si>
    <t>Laha, Anubhab; Sarkar, Aniket; Panja, Anindya Sundar; Bandopadhyay, Rajib</t>
  </si>
  <si>
    <t>Screening of Prospective Antiallergic Compound as FcεRI Inhibitors and Its Antiallergic Efficacy Through Immunoinformatics Approaches</t>
  </si>
  <si>
    <t>MOLECULAR BIOTECHNOLOGY</t>
  </si>
  <si>
    <t>ADMET; Allergy; Docking; Fc epsilon RI; Marrubiin; Molecular dynamics simulation; RMSD</t>
  </si>
  <si>
    <t>BINDING; IGE</t>
  </si>
  <si>
    <t>The occurrence of allergy, a type I hypersensitivity reaction, is rising exponentially all over the world. Sometimes, allergy proves to be fatal for atopic patients, due to the occurrence of anaphylaxis. This study is aimed to find an anti-allergic agent that can inhibit the binding of IgE to Human High Affinity IgE Receptor (FCeRI), thereby preventing the degranulation of mast cells. A considerable number of potential anti-allergic compounds were assessed for their inhibitory strength through ADMET studies. AUTODOCK was used for estimating the binding energy between anti-allergic compounds and FCeRI, along with the interacting amino acids. The docked pose showing favorable binding energy was subjected to molecular dynamics simulation study. Marrubiin, a diterpenoid lactone from Lamiaceae, and epicatechin-3-gallate appears to be effective in blocking the Human High Affinity IgE Receptor (FCeRI). This in-silico study proposes the use of marrubiin and epicatechin-3-gallate, in the downregulation of allergic responses. Due to the better inhibition constant, future direction of this study is to analyze the safety and efficacy of marrubiin in anti-allergic activities through in-vivo clinical human trials.</t>
  </si>
  <si>
    <t>[Laha, Anubhab; Bandopadhyay, Rajib] Univ Burdwan, UGC Ctr Adv Study, Dept Bot, Burdwan 713104, West Bengal, India; [Laha, Anubhab] Chandernagore Coll, Dept Bot, Hooghly 712136, West Bengal, India; [Sarkar, Aniket] Vidyasagar Univ, Oriental Inst Sci &amp; Technol, Postgrad Dept Biotechnol, Midnapore, West Bengal, India; [Panja, Anindya Sundar] Vidyasagar Univ, Oriental Inst Sci &amp; Technol, Dept Biotechnol, Mol Informat Lab, Midnapore 721102, West Bengal, India</t>
  </si>
  <si>
    <t>University of Burdwan; Vidyasagar University; Vidyasagar University</t>
  </si>
  <si>
    <t>Bandopadhyay, R (corresponding author), Univ Burdwan, UGC Ctr Adv Study, Dept Bot, Burdwan 713104, West Bengal, India.</t>
  </si>
  <si>
    <t>1073-6085</t>
  </si>
  <si>
    <t>1559-0305</t>
  </si>
  <si>
    <t>10.1007/s12033-023-00728-9</t>
  </si>
  <si>
    <t>Biochemistry &amp; Molecular Biology; Biotechnology &amp; Applied Microbiology</t>
  </si>
  <si>
    <t>Laha, Anubhab; Sarkar, Aniket; Chakraborty, Priyanka; Sundar Panja, Anindya; Bandopadhyay, Rajib</t>
  </si>
  <si>
    <t>Efficacy Screening of Prospective Anti-allergic Drug Candidates: An In silico Study</t>
  </si>
  <si>
    <t>CURRENT BIOINFORMATICS</t>
  </si>
  <si>
    <t>[Laha, Anubhab; Chakraborty, Priyanka; Bandopadhyay, Rajib] Univ Burdwan, UGC Ctr Adv Study, Dept Bot, Burdwan 713104, West Bengal, India; [Laha, Anubhab] Chandernagore Coll, Dept Bot, Hooghly 712136, West Bengal, India; [Sarkar, Aniket] Vidyasagar Univ, Oriental Inst Sci &amp; Technol, Postgrad Dept Biotechnol, Midnapore, West Bengal, India; [Sundar Panja, Anindya] Vidyasagar Univ, Oriental Inst Sci &amp; Technol, Dept Biotechnol, Mol Informat Lab, Midnapore 721102, West Bengal, India</t>
  </si>
  <si>
    <t>1574-8936</t>
  </si>
  <si>
    <t>2212-392X</t>
  </si>
  <si>
    <t>10.2174/1574893618666221019092212</t>
  </si>
  <si>
    <t>Biochemical Research Methods; Mathematical &amp; Computational Biology</t>
  </si>
  <si>
    <t>Biochemistry &amp; Molecular Biology; Mathematical &amp; Computational Biology</t>
  </si>
  <si>
    <t>Sarkar, A; Ghosh, TA; Bandyopadhyay, B; Maiti, S; Panja, AS</t>
  </si>
  <si>
    <t>Sarkar, Aniket; Ghosh, Trijit Arka; Bandyopadhyay, Bidyut; Maiti, Smarajit; Panja, Anindya Sundar</t>
  </si>
  <si>
    <t>Prediction of Prospective Mutational Landscape of SARS-CoV-2 Spike ssRNA and Evolutionary Basis of Its Host Interaction</t>
  </si>
  <si>
    <t>SARS-CoV-2; Mutation; ssRNA; Evolution; Infectivity; Immune-escape</t>
  </si>
  <si>
    <t>JC VIRUS AGNOPROTEIN; NUCLEOTIDE SUBSTITUTIONS; WEB SERVER; DOMAIN; CORONAVIRUS; INFECTION; NUMBER; ACE2</t>
  </si>
  <si>
    <t>Booster doses are crucial against severe COVID-19, as rapid virus mutations and variant emergence prolong the pandemic crisis. The virus's quick evolution, short generation-time, and adaptive changes impact virulence and evolvability, helping predictions about variant of concerns' (VOCs') landscapes. Here, in this study, we used a new computational algorithm, to predict the mutational pattern in SARS-CoV-2 ssRNA, proteomics, structural identification, mutation stability, and functional correlation, as well as immune escape mechanisms. Interestingly, the sequence diversity of SARS Coronavirus-2 has demonstrated a predominance of G- &gt; A and C- &gt; U substitutions. The best validation statistics are explored here in seven homologous models of the expected mutant SARS-CoV-2 spike ssRNA and employed for hACE2 and IgG interactions. The interactome profile of SARS-CoV-2 spike with hACE2 and IgG revealed a strong correlation between phylogeny and divergence time. The systematic adaptation of SARS-CoV-2 spike ssRNA influences infectivity and immune escape. Data suggest higher propensity of Adenine rich sequence promotes MHC system avoidance, preferred by A-rich codons. Phylogenetic data revealed the evolution of SARS-CoV-2 lineages' epidemiology. Our findings may unveil processes governing the genesis of immune-resistant variants, prompting a critical reassessment of the coronavirus mutation rate and exploration of hypotheses beyond mechanical aspects.</t>
  </si>
  <si>
    <t>[Sarkar, Aniket; Bandyopadhyay, Bidyut] Vidyasagar Univ, Oriental Inst Sci &amp; Technol, Post Grad Dept Biotechnol, Midnapore 721102, West Bengal, India; [Ghosh, Trijit Arka] Univ Burdwan, Burdwan Inst Management &amp; Comp Sci, Dept Comp Applicat, Burdwan 713102, West Bengal, India; [Maiti, Smarajit] Haldia Inst Hlth Sci, Dept Med Lab Technol, ICARE Complex, Haldia 721657, West Bengal, India; [Panja, Anindya Sundar] Vidyasagar Univ, Oriental Inst Sci &amp; Technol, Post Grad Dept Biotechnol, Mol Informat Lab, Midnapore 721102, West Bengal, India</t>
  </si>
  <si>
    <t>Vidyasagar University; University of Burdwan; Vidyasagar University</t>
  </si>
  <si>
    <t>Panja, AS (corresponding author), Vidyasagar Univ, Oriental Inst Sci &amp; Technol, Post Grad Dept Biotechnol, Mol Informat Lab, Midnapore 721102, West Bengal, India.</t>
  </si>
  <si>
    <t>10.1007/s12033-024-01146-1</t>
  </si>
  <si>
    <t>Sharma, Rajaram; Dey, Amit Kumar; Udmale, Prasad; Priyamvara, Aditi; Alam, Shah; Dey, Debashish; Thakkar, Hemangini</t>
  </si>
  <si>
    <t>Giant mandibular osteoma, CT findings for the primary care provider</t>
  </si>
  <si>
    <t>JOURNAL OF FAMILY MEDICINE AND PRIMARY CARE</t>
  </si>
  <si>
    <t>[Sharma, Rajaram; Dey, Amit Kumar; Udmale, Prasad; Alam, Shah; Thakkar, Hemangini] Seth GS Med Coll &amp; KEM Hosp, Dept Radiol, Mumbai, Maharashtra, India; [Priyamvara, Aditi] Pandit Bhagwat Dayal Sharma Univ Hlth Sci, Rohtak, Haryana, India; [Dey, Debashish] Vidyasagar Univ, Midnapore, West Bengal, India; [Dey, Amit Kumar] Seth GS Med Coll &amp; KEM Hosp, Acharya Donde Marg,Room 107, Mumbai 400012, Maharashtra, India</t>
  </si>
  <si>
    <t>Seth Gordhandas Sunderdas Medical College &amp; King Edward Memorial Hospital; Vidyasagar University; Seth Gordhandas Sunderdas Medical College &amp; King Edward Memorial Hospital</t>
  </si>
  <si>
    <t>Dey, AK (corresponding author), Seth GS Med Coll &amp; KEM Hosp, Acharya Donde Marg,Room 107, Mumbai 400012, Maharashtra, India.</t>
  </si>
  <si>
    <t>2249-4863</t>
  </si>
  <si>
    <t>2278-7135</t>
  </si>
  <si>
    <t>10.4103/jfmpc.jfmpc_2343_21</t>
  </si>
  <si>
    <t>Primary Health Care</t>
  </si>
  <si>
    <t>Pervin, Magfura; Roy, Sankar Kumar; Sannyashi, Prasenjit; Weber, Gerhard-Wilhelm</t>
  </si>
  <si>
    <t>Sustainable inventory model with environmental impact for non-instantaneous deteriorating items with composite demand</t>
  </si>
  <si>
    <t>[Pervin, Magfura] Brainware Univ, Dept Math, 398 Ramkrishnapur Rd, Kolkata 700125, West Bengal, India; [Roy, Sankar Kumar; Sannyashi, Prasenjit] Vidyasagar Univ, Dept Appl Math Oceanol &amp; Comp Programming, Midnapore 721102, West Bengal, India; [Weber, Gerhard-Wilhelm] Poznan Univ Tech, Fac Engn Management, Chair Mkt &amp; Econ Engn, ul Strzelecka 11, PL-60965 Poznan, Poland</t>
  </si>
  <si>
    <t>10.1051/ro/2023005</t>
  </si>
  <si>
    <t>Banerjee, A; Panchadhyayee, P; Dutta, BK</t>
  </si>
  <si>
    <t>Banerjee, Aniket; Panchadhyayee, Pradipta; Dutta, Bibhas Kumar</t>
  </si>
  <si>
    <t>Efficient control of high-precision three-dimensional atom localization via probe absorption in a five-level phase-coherent atomic system</t>
  </si>
  <si>
    <t>three-dimensional atom localization; phase-dependent five-level atomic system; partially closed-loop-induced quantum interference; different superposed standing-wave-field configurations</t>
  </si>
  <si>
    <t>ELECTROMAGNETICALLY INDUCED TRANSPARENCY; CONTROLLED SPONTANEOUS EMISSION; DRIVEN; RESOLUTION; SPECTRUM; FIELD</t>
  </si>
  <si>
    <t>We propose a new scheme for high-precision three-dimensional (3D) atom localization by observing the spatially modulated absorption of a weak probe field operating in a partially closed-loop dependent five-level atomic system. Different spatial structures of localization patterns are presented by controlling the Rabi frequency, detuning, and field-induced collective phase-coherence with a variety of superposed standing wave field configurations. Our results highlight that 100% detection probability of atom is possible in the present model in many ways with high precision measurement of spatial absorption. It has been shown that, in the presence of standing wave fields, position information of the atom with maximum detection probability can be efficiently controlled by employing the travelling-wave field in the system. In the present work, we note that the maximum detection probability of the atom is attainable with the limit of spatial resolution better than lambda/50. The efficacy of the present model is to find its application in atom nanolithography and atom-imaging having importance in quantum information processing.</t>
  </si>
  <si>
    <t>[Banerjee, Aniket] Panskura Banamali Coll Autonomous, Dept Phys UG &amp; PG, Purba Medinipur 721152, WB, India; [Banerjee, Aniket] Vidyasagar Univ, Prabhat Kumar Coll, Res Ctr Nat Sci, Purba Medinipur 721401, WB, India; [Panchadhyayee, Pradipta] Vidyasagar Univ, Prabhat Kumar Coll, Dept Phys UG &amp; PG, Medinipur 721401, WB, India; [Panchadhyayee, Pradipta] Inst Astron Space &amp; Earth Sci, Kolkata 700054, WB, India; [Dutta, Bibhas Kumar] Habra WB State Univ, Sree Chaitanya Coll, Dept Phys, North 24 Parganas, Parganas, WB, India</t>
  </si>
  <si>
    <t>Panchadhyayee, P (corresponding author), Vidyasagar Univ, Prabhat Kumar Coll, Dept Phys UG &amp; PG, Medinipur 721401, WB, India.;Panchadhyayee, P (corresponding author), Inst Astron Space &amp; Earth Sci, Kolkata 700054, WB, India.</t>
  </si>
  <si>
    <t>10.1088/1402-4896/ad7652</t>
  </si>
  <si>
    <t>Pahari, S; Das Chatterjee, N; Barman, NK</t>
  </si>
  <si>
    <t>Pahari, S.; Das Chatterjee, N.; Barman, N. K.</t>
  </si>
  <si>
    <t>Noise vulnerability assessment using an integrated approach of multi-criteria decision-making model and geospatial techniques</t>
  </si>
  <si>
    <t>INTERNATIONAL JOURNAL OF ENVIRONMENTAL SCIENCE AND TECHNOLOGY</t>
  </si>
  <si>
    <t>Noise pollution; Sound level meter; Analytical hierarchical process; Noise vulnerable zone; Urban agglomeration</t>
  </si>
  <si>
    <t>ROAD TRAFFIC NOISE; JAMSHEDPUR CITY; URBAN AREAS; POLLUTION; PATTERN; DESIGN; GIS</t>
  </si>
  <si>
    <t>Noise pollution is the most serious man-made disaster as a result of urbanisation and industrialization. Jamshedpur Urban Agglomeration is the 36th largest urban agglomeration according to Census of India. The field base noise data have been recorded at different times which shows that day and night time noise levels in some parts of the studied area were greater than threshold limit (75 dB(A) and 65 dB(A), respectively, at industrial area) set by India's Central Pollution Control Board. The maximum sound exposure level during peak hours in working day measured by Sound Level Meter was 107 dB(A). Considering this level of sound exposures can induce hearing impairment based on its extent, duration as well as frequency as per the objective of maintaining the ambient air quality standards in respect to noise by the CPCB and WHO. The goal of the current study is to identify the Jamshedpur Urban Agglomeration's Noise Vulnerability Zone through the integration of field-based noise data from Sound Level Meters, Remote Sensing, Geographic Information Systems, and Multi-Criteria Decision-Making Analysis through Analytical Hierarchical Process model in a geospatial environment. In this case, the Consistency Ratio value (0.09) indicates that the derived weights are accepted. The outcome of the research found that the moderate and high vulnerable zones are spreading near about one-third of the urban unit. The use of decision-making model-based approach is helpful in identifying and predicting vulnerable zones associated with noise pollution and it allows policymakers to better understand the problem and formulate more prudent pollution-mitigating decisions.</t>
  </si>
  <si>
    <t>[Pahari, S.] Hijli Coll, Dept Geog, Kharagpur 721306, West Bengal, India; [Das Chatterjee, N.] Vidyasagar Univ, Dept Geog &amp; Environm Management, Midnapore 721102, West Bengal, India; [Barman, N. K.] Midnapore Coll Autonomous, Dept Geog, Midnapore 721101, West Bengal, India</t>
  </si>
  <si>
    <t>Barman, NK (corresponding author), Midnapore Coll Autonomous, Dept Geog, Midnapore 721101, West Bengal, India.</t>
  </si>
  <si>
    <t>1735-1472</t>
  </si>
  <si>
    <t>1735-2630</t>
  </si>
  <si>
    <t>10.1007/s13762-023-05331-8</t>
  </si>
  <si>
    <t>Debnath, Asish; Mondal, Uttam Kr.</t>
  </si>
  <si>
    <t>Lossless audio codec based on CNN, weighted tree and arithmetic encoding (LACCWA)</t>
  </si>
  <si>
    <t>[Debnath, Asish] Tata Consultancy Serv Ltd, Kolkata 700156, W Bengal, India; [Debnath, Asish; Mondal, Uttam Kr.] Vidyasagar Univ, Dept Comp Sci, Midnapore 721102, W Bengal, India</t>
  </si>
  <si>
    <t>Tata Sons; Tata Consultancy Services Limited (TCS); Vidyasagar University</t>
  </si>
  <si>
    <t>Mondal, UK (corresponding author), Vidyasagar Univ, Dept Comp Sci, Midnapore 721102, W Bengal, India.</t>
  </si>
  <si>
    <t>10.1007/s11042-023-17393-4</t>
  </si>
  <si>
    <t>Das, Gopinath; Dutta, Bidyarthi; Das, Anup Kumar</t>
  </si>
  <si>
    <t>Citation Trend of Indian Physics and Astronomy Research during 2005-2020 through the Lens of Some New Indicators</t>
  </si>
  <si>
    <t>[Das, Gopinath] Santal Bidroha Sardha Satabarshiki Mahavidyalaya, Paschim Medinipur 721128, W Bengal, India; [Dutta, Bidyarthi] Vidyasagar Univ, Dept Lib &amp; Informat Sci, Midnapore 721102, W Bengal, India; [Das, Anup Kumar] Jawaharlal Nehru Univ, Ctr Studies Sci Policy, Delhi 110067, India</t>
  </si>
  <si>
    <t>Vidyasagar University; Jawaharlal Nehru University, New Delhi</t>
  </si>
  <si>
    <t>Dutta, B (corresponding author), Vidyasagar Univ, Dept Lib &amp; Informat Sci, Midnapore 721102, W Bengal, India.</t>
  </si>
  <si>
    <t>10.14429/djlit.42.1.17121</t>
  </si>
  <si>
    <t>Das, Biswajit; Deb, Argha</t>
  </si>
  <si>
    <t>Vidyasagar University; Jadavpur University; Jadavpur University</t>
  </si>
  <si>
    <t>Bera, A; Samanta, AK; Panda, S</t>
  </si>
  <si>
    <t>Bera, Arnab; Samanta, Achintya Kumar; Panda, Sauris</t>
  </si>
  <si>
    <t>Status of Tree Diversity in Digha, West Bengal, India with Special Reference to their Phytochemical Constituents</t>
  </si>
  <si>
    <t>PHARMACOGNOSY RESEARCH</t>
  </si>
  <si>
    <t>Trees; Digha; Phytochemicals; IUCN Red List; Conservation</t>
  </si>
  <si>
    <t>ANTIOXIDANT ACTIVITY; PHOENIX-SYLVESTRIS; ARJUNOLIC ACID; L.; PREVENTION; EXTRACTS; LINN</t>
  </si>
  <si>
    <t>Background: Digha is a coastal area in the district of Purba Medinipur, West Bengal, India. The vegetation in this area is unstable, like many other coastal zones. Trees play an important role in this region to prevent soil erosion and act as a windbreak. Also, the local people here depend on trees for their livelihood. Objectives: The current study aims to enumerate the tree species growing along the Digha seashore with special reference to their IUCN status and phytochemical constituents. Materials and Methods: The study area was rigorously surveyed over a period of about 4 years to record the trees of the area. Standard literature and websites were followed to summarize IUCN status and chemical constituents of the documented trees. Results: A total of 65 tree species belonging to 59 genera, and under 28 families have been documented with Fabaceae contributing the most (14 species). Tectona grandis was the only endangered tree species among the plants recorded. Conclusion: Conservation strategies must be adopted by the Forest Department and other government organizations to protect the relevant tree species as well as this fragile biozone.</t>
  </si>
  <si>
    <t>[Bera, Arnab; Samanta, Achintya Kumar] Vidyasagar Univ, Ramnagar Coll, Dept Bot, Purba Medinipur 721453, W Bengal, India; [Panda, Sauris] Univ Calcutta, Charuchandra Coll, Dept Bot, Lake Rd, Kolkata, W Bengal, India</t>
  </si>
  <si>
    <t>Bera, A (corresponding author), Vidyasagar Univ, Ramnagar Coll, Dept Bot, Purba Medinipur 721453, W Bengal, India.</t>
  </si>
  <si>
    <t>0974-8490</t>
  </si>
  <si>
    <t>0976-4836</t>
  </si>
  <si>
    <t>10.5530/pres.16.2.44</t>
  </si>
  <si>
    <t>Maity, S; Barlaskar, UR; Bhumali, A</t>
  </si>
  <si>
    <t>Maity, Shrabanti; Barlaskar, Ummey Rummana; Bhumali, Anil</t>
  </si>
  <si>
    <t>The footprint of inter-state labour migration on the COVID-19 scenario of India: an analysis of structural break and growth rate</t>
  </si>
  <si>
    <t>interstate labour migration; devotional festivals; COVID-19; CUSUM of squares test; Poirier's spline function approach; India</t>
  </si>
  <si>
    <t>The common SARS-CoV-2 is responsible for the huge loss of human capital worldwide and India is not an exception. India witnessed inter-state labour migration during the lockdown and the celebration of devotional festivals during the unlock phase. The paper aimed to explore the footprint of inter-state labour migration and the aftermaths of the celebration of devotional festivals on the COVID-19 scenario in India. The empirical analysis of the paper was facilitated by the utilisation of the CUSUM of squares test and Poirier's spline function approach. Based on the secondary data on per-day new COVID-19 cases and per-day new COVID-19 death cases in India, the study concluded although inter-state labour migration did not evident to have the permanent scar to COVID-19 scenario of India, the celebration of devotional festivals evidently had. The study ended with suitable policy prescriptions.</t>
  </si>
  <si>
    <t>[Maity, Shrabanti] Vidyasagar Univ, Dept Econ, Midnapore, W Bengal, India; [Barlaskar, Ummey Rummana] Assam Univ, Dept Econ, Silchar, Assam, India; [Bhumali, Anil] Univ North Bengal, Dept Econ, North Bengal, W Bengal, India</t>
  </si>
  <si>
    <t>Vidyasagar University; Assam University; University of North Bengal</t>
  </si>
  <si>
    <t>10.1504/IJICBM.2024.136806</t>
  </si>
  <si>
    <t>Das, S.; Ali, A.; Jana, R. N.; Makinde, O. D.</t>
  </si>
  <si>
    <t>EDL impact on mixed magneto-convection in a vertical channel using ternary hybrid nanofluid</t>
  </si>
  <si>
    <t>CHEMICAL ENGINEERING JOURNAL ADVANCES</t>
  </si>
  <si>
    <t>[Das, S.] Univ Gour Banga, Dept Math, Malda 723103, India; [Ali, A.] Bajkul Milani Mahavidyalaya, Dept Math, Purba Medinipur 721655, India; [Jana, R. N.] Vidyasagar Univ, Dept Appl Math, Midnapore 721102, India; [Makinde, O. D.] Stellenbosch Univ, Fac Mil Sci, Private Bag X2, ZA-7395 Saldanha, South Africa</t>
  </si>
  <si>
    <t>Das, S (corresponding author), Univ Gour Banga, Dept Math, Malda 723103, India.</t>
  </si>
  <si>
    <t>2666-8211</t>
  </si>
  <si>
    <t>NOV 15</t>
  </si>
  <si>
    <t>10.1016/j.ceja.2022.100412</t>
  </si>
  <si>
    <t>Sudip, Mondal; Rituparna, Saha; Bijoy, Mal; Krishnendu, Acharya; Gunjan, Biswas</t>
  </si>
  <si>
    <t>Comparative study of phytochemicals, antioxidant and anti-inflammatory activity of infusion and decoction extracts from Pycnoporus sanguineus (L.) Murril collected in West Bengal</t>
  </si>
  <si>
    <t>[Sudip, Mondal; Bijoy, Mal; Gunjan, Biswas] Vidyasagar Univ, Dept Bot &amp; Forestry, Mycol &amp; Plant Pathol Lab, Midnapore 721102, West Bengal, India; [Rituparna, Saha; Krishnendu, Acharya] Univ Calcutta, Dept Bot, Mol &amp; Appl Mycol &amp; Plant Pathol Lab, 35 Ballygunge Circular Rd, Kolkata 700019, India</t>
  </si>
  <si>
    <t>Gunjan, B (corresponding author), Vidyasagar Univ, Dept Bot &amp; Forestry, Mycol &amp; Plant Pathol Lab, Midnapore 721102, West Bengal, India.</t>
  </si>
  <si>
    <t>10.25303/1812rjbt07013</t>
  </si>
  <si>
    <t>Beg, Mirza Masum; Roy, Subha M.; Moulick, Sanjib; Mandal, Basudev</t>
  </si>
  <si>
    <t>Quality evaluation of organically farmed fish fillet of Indian major carps</t>
  </si>
  <si>
    <t>[Beg, Mirza Masum; Mandal, Basudev] Vidyasagar Univ, Dept Fishery Sci, Midnapore 721102, W Bengal, India; [Roy, Subha M.] GLA Univ, Inst Appl Sci &amp; Humanities, Fac Agr Sci, Mathura 281406, Uttar Pradesh, India; [Moulick, Sanjib] KIIT Deemed Univ, Sch Civil Engn, Bhubaneswar 751024, Orissa, India</t>
  </si>
  <si>
    <t>Vidyasagar University; GLA University; Kalinga Institute of Industrial Technology (KIIT)</t>
  </si>
  <si>
    <t>Beg, MM (corresponding author), Vidyasagar Univ, Dept Fishery Sci, Midnapore 721102, W Bengal, India.</t>
  </si>
  <si>
    <t>10.1007/s10499-023-01107-6</t>
  </si>
  <si>
    <t>Nandi, U (corresponding author), Vidyasagar Univ, Dept Comp Sci, Paschim Medinipur 721102, West Bengal, India.</t>
  </si>
  <si>
    <t>Saren, D; Bodensteiner, M; Manna, SC</t>
  </si>
  <si>
    <t>Saren, Dama; Bodensteiner, Michael; Manna, Subal Chandra</t>
  </si>
  <si>
    <t>Dinuclear cadmium(II) complexes with distorted octahedral/monocapped trigonal prism coordination geometries: synthesis, crystal structure, DFT/ TD-DFT calculation and photocatalytic degradation of methylene blue</t>
  </si>
  <si>
    <t>POLYHEDRON</t>
  </si>
  <si>
    <t>Cd(II) complexes; Crystal structure; DFT/TD-DFT calculation; Photocatalyst</t>
  </si>
  <si>
    <t>COPPER(II) COMPLEXES; CU(II) COMPLEXES; SCHIFF-BASES; POLYMERS; FLUORESCENCE; CD(II); ENERGIES; LIGANDS; SPECTRA; BINDING</t>
  </si>
  <si>
    <t>Two Cd(II) complexes [Cd2(L1)2(dca)(NO3)] (1) and [Cd2(L2)2(SCN)(NO3)] (2) (HL1 = 2-methoxy-6-[(2-phenylamino-ethylimino)-methyl]-phenol; and HL2 = 2-[(2-ethylamino-ethylimino)-methyl]-6-methoxy-phenol), have been synthesized and characterized by single crystal structure analysis, IR and mass spectroscopic studies. Both the complexes 1 and 2 possess a triclinic crystal system with space group P 1. In complex 1, geometry around one metal centre is distorted octahedral and other centre is distorted monocapped trigonal prism, whereas in complex 2, both the metal centres possess distorted octahedral geometries. Strong N-H &amp; sdot;&amp; sdot;&amp; sdot;O and weak aromatic C-H &amp; sdot;&amp; sdot;center dot O hydrogen bonding interactions in 1 and strong N-H &amp; sdot;&amp; sdot;&amp; sdot;O and N-H &amp; sdot;&amp; sdot;&amp; sdot;S hydrogen bonding in 2 results 1D and 2D supramolecular structures, respectively. Experimentally determined electronic spectral data have been compared with the calculated data obtained by DFT and TD-DFT calculation. Photocatalytic abilities of 1 and 2 have been examined by using spectroscopic technique and found that in presence of UV light both the complexes catalytically decomposed methylene blue by 54.0 % and 50.3 %, respectively.</t>
  </si>
  <si>
    <t>[Saren, Dama; Manna, Subal Chandra] Vidyasagar Univ, Dept Chem &amp; Chem Technol, Midnapore 721102, West Bengal, India; [Bodensteiner, Michael] Univ Regensburg, Fac Chem &amp; Pharm, Univ Str 31, D-93053 Regensburg, Germany</t>
  </si>
  <si>
    <t>Vidyasagar University; University of Regensburg</t>
  </si>
  <si>
    <t>Manna, SC (corresponding author), Vidyasagar Univ, Dept Chem &amp; Chem Technol, Midnapore 721102, West Bengal, India.</t>
  </si>
  <si>
    <t>0277-5387</t>
  </si>
  <si>
    <t>1873-3719</t>
  </si>
  <si>
    <t>Polyhedron</t>
  </si>
  <si>
    <t>10.1016/j.poly.2024.116936</t>
  </si>
  <si>
    <t>Chemistry, Inorganic &amp; Nuclear; Crystallography</t>
  </si>
  <si>
    <t>Chemistry; Crystallography</t>
  </si>
  <si>
    <t>Rakshit, Subham; Pal, Kalyanbrata; Mondal, Subhadeep; Jana, Arijit; Mondal, Keshab Chandra; Halder, Suman Kumar</t>
  </si>
  <si>
    <t>Extraction of chitosan from biologically-derived chitin by bacterial chitin deacetylase: Process optimization and product quality assessment</t>
  </si>
  <si>
    <t>[Rakshit, Subham; Pal, Kalyanbrata; Mondal, Keshab Chandra; Halder, Suman Kumar] Vidyasagar Univ, Dept Microbiol, Midnapore 721102, West Bengal, India; [Mondal, Subhadeep] Vidyasagar Univ, Ctr Life Sci, Midnapore 721102, West Bengal, India; [Jana, Arijit] Indian Inst Petr, CSIR, Mat Resource Efficiency Div, Dehra Dun 248005, India; [Jana, Arijit] Raja NL Khan Womens Coll, Dept Microbiol, Midnapore 721102, West Bengal, India</t>
  </si>
  <si>
    <t>10.1016/j.ijbiomac.2023.125389</t>
  </si>
  <si>
    <t>Ghosh, Susmita; Sarkar, Biplab; Islam, Aznarul; Shit, Pravat Kumar; Quesada-Roman, Adolfo; Gazi, Harun Al Rasid</t>
  </si>
  <si>
    <t>Surface Water and Groundwater Suitability for Irrigation Based on Hydrochemical Analysis in the Lower Mayurakshi River Basin, India</t>
  </si>
  <si>
    <t>GEOSCIENCES</t>
  </si>
  <si>
    <t>[Ghosh, Susmita; Sarkar, Biplab; Islam, Aznarul] Aliah Univ, Dept Geog, 17 Gorachand Rd,Pk Circus, Kolkata 700014, India; [Shit, Pravat Kumar] Vidyasagar Univ, Raja NL Khan Womens Coll, PG Dept Geog, Midnapore 721102, India; [Quesada-Roman, Adolfo] Univ Costa Rica, Lab Geog Fis, Escuela Geog, San Pedro 2060, Costa Rica; [Gazi, Harun Al Rasid] Aliah Univ, Dept Chem, 2A-27 New Town, Kolkata 700160, India</t>
  </si>
  <si>
    <t>Aliah University; Vidyasagar University; Universidad Costa Rica; Aliah University</t>
  </si>
  <si>
    <t>Quesada-Román, A (corresponding author), Univ Costa Rica, Lab Geog Fis, Escuela Geog, San Pedro 2060, Costa Rica.</t>
  </si>
  <si>
    <t>2076-3263</t>
  </si>
  <si>
    <t>10.3390/geosciences12110415</t>
  </si>
  <si>
    <t>Das, S; Karmakar, P; Pal, TK; Sarkar, S; Ali, A; Jana, RN</t>
  </si>
  <si>
    <t>Das, Sanatan; Karmakar, Poly; Pal, Tilak Kumar; Sarkar, Soumitra; Ali, Asgar; Jana, Rabindra Nath</t>
  </si>
  <si>
    <t>Chemical dynamics in a radioactive platinum -cerium oxide-water mixture within a vibrating Riga channel subject to sudden pressure gradient onset</t>
  </si>
  <si>
    <t>JOURNAL OF MATHEMATICAL CHEMISTRY</t>
  </si>
  <si>
    <t>Platinum-cerium oxide-water mixture; Vibrating riga channel; Chemical reaction; Species generation/absoption; Laplace transform (LT)</t>
  </si>
  <si>
    <t>RAMPED WALL TEMPERATURE; RADIATIVE CASSON FLUID; MHD REACTIVE FLOW; NANOFLUID FLOW; THERMAL-RADIATION; VERTICAL CHANNEL; HEAT-TRANSFER; NATURAL-CONVECTION; PARALLEL PLATES; POROUS-MEDIUM</t>
  </si>
  <si>
    <t>In the realm of renewable energy, platinum (Pt) nanoparticles are crucial components in fuel cells. They particularly excel in hydrogen fuel cells, where their role as catalysts significantly boosts the efficiency of electrochemical reactions. Cerium oxide nanoparticles are highly prized in engineering and industry for their exceptional catalytic abilities. They are particularly notable for their role in reducing vehicle emissions and facilitating the oxidation of carbon monoxide and hydrocarbons. Their oxygen storage capacity, crucial in regulating oxygen levels during catalytic reactions, is vital in automotive exhaust systems. Such an appealing area has led us to explore the dynamic behaviours of a specialized hybrid nanofluid- a mixture of radioactive platinum, cerium oxide, and water within a vertically extended vibrating Riga channel. This model is set under the cumulative consequences of sudden pressure gradient onset, electromagnetic forces, electromagnetic radiation, and chemical reactions. This physical model consists of a static right wall and a left wall that undergoes transverse vibrations. This flow scenario is mathematically described using time-dependent partial differential equations. A closed-form solution for the flow-regulating equations is obtained by harnessing the Laplace transform (LT) method. The study meticulously details the ascendancy of various critical parameters on the functions and quantities of the model, particularly for hybrid nanofluid (HNF) and nanofluid (NF), using graphical and tabular representations. Our findings manifest an expansion in the modified Hartmann number notably boosts the fluid velocity across the Riga channel. The fluid temperature in HNF is consistently lower in HNF compared to NF. The species concentration levels in HNF and NF lower with rising Schmidt numbers and chemical reaction parameters. A widened width of magnets and electrodes results in lowered shear stresses at the Riga wall in both HNF and NF. Furthermore, the rate of heat transfer (RHT) at the vibrating wall for HNF consistently shows higher values than for NF. These novel insights have far-reaching implications in various industrial and engineering applications, including the development of catalytic converters, the optimization of hydrogen fuel cells, the efficient oxidation of carbon monoxide and hydrocarbons, and advancements in materials processing techniques.</t>
  </si>
  <si>
    <t>[Das, Sanatan; Karmakar, Poly; Pal, Tilak Kumar]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</si>
  <si>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0259-9791</t>
  </si>
  <si>
    <t>1572-8897</t>
  </si>
  <si>
    <t>10.1007/s10910-024-01625-5</t>
  </si>
  <si>
    <t>Chemistry, Multidisciplinary; Mathematics, Interdisciplinary Applications</t>
  </si>
  <si>
    <t>Chemistry; Mathematics</t>
  </si>
  <si>
    <t>Das, S; Sarkar, S; Ali, A; Jana, RN</t>
  </si>
  <si>
    <t>Das, Sanatan; Sarkar, Soumitra; Ali, Asgar; Jana, Rabindra Nath</t>
  </si>
  <si>
    <t>Exploration of magnetically influenced flow dynamics of a dusty fluid induced by the ramped movement of a thermally active plate</t>
  </si>
  <si>
    <t>ARCHIVE OF APPLIED MECHANICS</t>
  </si>
  <si>
    <t>Dusty fluid; Casson model; Magnetic field; Newtonian heating; Thermally active plate; Laplace transform (LT)</t>
  </si>
  <si>
    <t>NANOFLUID; CYLINDER</t>
  </si>
  <si>
    <t>The study of magnetically influenced flows in conjunction with non-Newtonian dusty fluids finds wide-ranging applications in minerals processing, environmental engineering, and biomedical sciences. These include, but are not limited to, wastewater management, soil remediation and groundwater treatment, removal of contaminants from water or soil, magnetic separation techniques, controlled and site-specific drug delivery, and biomedical diagnostic procedures. This research focuses on the dynamic behaviour of a conducting dusty fluid, modelled using the Casson framework, in the presence of a thermally active plate with ramped movement and the effects of a magnetic field. The model also incorporates several key physical phenomena, including thermal radiation, heat generation, and Newtonian heating wall conditions. To describe the time-dependent flow behaviour mathematically, partial differential equations are employed. Analytical solutions are derived using mathematical approach, notably the Laplace transform (LT). The results, including changes in flow profiles and various physical quantities due to various influencing factors, are depicted through graphs and tables, offering a clear visual representation of the findings. The research concludes that a higher thermal relaxation time parameter significantly improves thermal characteristics. Higher levels of particle concentration parameter correspond to slower fluid flow. Both the heat transfer rate and shearing stress on the plate exhibit temporal variations for a range of physical parameters. The particle concentration parameter has a notable impact on thermal transmission. The study's findings may be applied in climate modelling, weather prediction, contaminant transport, and studying phenomena such as dust storms, air pollution, and dispersion of volcanic ash clouds.</t>
  </si>
  <si>
    <t>[Das, Sanatan]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</si>
  <si>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0939-1533</t>
  </si>
  <si>
    <t>1432-0681</t>
  </si>
  <si>
    <t>10.1007/s00419-023-02531-z</t>
  </si>
  <si>
    <t>Mandal, Saikat; Tarai, Swarup Kumar; Patra, Priya; Nandi, Payel; Sing, Shukdeb; Rajak, Bijoy; Moi, Sankar Chandra</t>
  </si>
  <si>
    <t>Brief Research on the Biophysical Study and Anticancer Behavior of Pt(II) Complexes: Their DNA/BSA Binding, Molecular Docking, and Cytotoxic Property</t>
  </si>
  <si>
    <t>[Mandal, Saikat; Tarai, Swarup Kumar; Patra, Priya; Nandi, Payel; Rajak, Bijoy; Moi, Sankar Chandra] Natl Inst Technol Durgapur, Dept Chem, Durgapur 713209, WB, India; [Sing, Shukdeb] Vidyasagar Univ, Dept Chem, Midnapore 721102, WB, India</t>
  </si>
  <si>
    <t>National Institute of Technology (NIT System); National Institute of Technology Durgapur; Vidyasagar University</t>
  </si>
  <si>
    <t>Moi, SC (corresponding author), Natl Inst Technol Durgapur, Dept Chem, Durgapur 713209, WB, India.</t>
  </si>
  <si>
    <t>10.1021/acs.langmuir.2c02490</t>
  </si>
  <si>
    <t>Das, S.; Mahato, N.; Ali, A.; Jana, R. N.</t>
  </si>
  <si>
    <t>Dynamical behaviour of magneto-copper-titania/water-ethylene glycol stream inside a gyrating channel</t>
  </si>
  <si>
    <t>CHEMICAL PHYSICS LETTERS</t>
  </si>
  <si>
    <t>[Das, S.] Univ Gour Banga, Dept Math, Malda 732103, India; [Mahato, N.] Barrackpore Rastraguru Surendranath Coll, Dept Math, Kolkata 700120, India; [Ali, A.] Bajkul Milani Mahavidyalaya, Dept Math, Purba Medinipur 721655, India; [Jana, R. N.] Vidyasagar Univ, Dept Appl Math, Midnapore 721102, India</t>
  </si>
  <si>
    <t>0009-2614</t>
  </si>
  <si>
    <t>1873-4448</t>
  </si>
  <si>
    <t>10.1016/j.cplett.2022.139476</t>
  </si>
  <si>
    <t>Samui, R; Saha, S; Guha, PK; Bhunia, AK</t>
  </si>
  <si>
    <t>Samui, Rajesh; Saha, Satyajit; Guha, Prasanta Kumar; Bhunia, Amit Kumar</t>
  </si>
  <si>
    <t>Dynamics and Thermodynamics Study of the Adsorption of Lysozyme to 2D SnSe Nanoflake Surfaces with Associated Unfolding</t>
  </si>
  <si>
    <t>2D Nanoflake; ITC; Lysozyme; Quenching; Unfolding</t>
  </si>
  <si>
    <t>PROTEIN CORONA; NANOPARTICLES; TRYPTOPHAN; ENERGY; BINDING</t>
  </si>
  <si>
    <t>In this work, we explore the interaction as well as corona formation and interfacial phenomena of lysozyme (LYZ) and 2D SnSe nanoflake. The optical results indicate formation of ground state complex with an apparent association constant of 1.5 x 10(3) (mol)(-1). The dynamics of the in situ interaction exhibited surface reorganization (t(2) = 73.5 min) and unfolding, which were more prominent than binding (t(1 )= 3 min) for tryptophan residues of LYZ. The formations of soft and hard corona of the LYZ structure were clearly observed from HRTEM. The emission quenching exhibited tertiary deformation of the LYZ structure with positive cooperative binding (n &gt; 1) and dynamics of quenching followed the sigmoidal Boltzmann nature of the energy transfer process. The ultrafast lifetime of the bioconjugate varied from 1.9-1.35 ns with a maximum 63% energy transfer efficiency within 300 min of the corona evolution. The decrement of alpha helix (58.87%-21.78%) and increment of beta sheet (5.27%-23.98%) were observed after interaction, with the conversion of large amount of alpha helix into beta sheet. The ITC results showed that the injection heat results followed two-site binding model, and the exothermic binding was dominate over the interaction. The second phase binding is driven by larger positive entropy, where the first binding site has a stronger association.</t>
  </si>
  <si>
    <t>[Samui, Rajesh; Saha, Satyajit] Vidyasagar Univ, Dept Phys, Paschim Medinipur 721102, West Bengal, India; [Guha, Prasanta Kumar] Indian Inst Technol IIT Kharagpur, Dept Elect &amp; Elect Commun Engn, Paschim Medinipur 721302, India; [Bhunia, Amit Kumar] Govt Gen Degree Coll Gopiballavpur II, Dept Phys, Jhargram 721517, West Bengal, India</t>
  </si>
  <si>
    <t>Bhunia, AK (corresponding author), Govt Gen Degree Coll Gopiballavpur II, Dept Phys, Jhargram 721517, West Bengal, India.</t>
  </si>
  <si>
    <t>10.1002/slct.202402820</t>
  </si>
  <si>
    <t>Shanmugapriya, M; Sundareswaran, R; Krishna, SG; Pal, M</t>
  </si>
  <si>
    <t>Shanmugapriya, M.; Sundareswaran, R.; Krishna, S. Gopi; Pal, Madhumangal</t>
  </si>
  <si>
    <t>An analysis of effect of higher order endothermic/exothermic chemical reaction on magnetized casson hybrid nanofluid flow using fuzzy triangular number</t>
  </si>
  <si>
    <t>Casson hybrid nanofluid; Endothermic/exothermic reactions; Activation energy; Thermal radiation; Triangular fuzzy number</t>
  </si>
  <si>
    <t>NONLINEAR THERMAL-RADIATION; MOVING WEDGE; HEAT</t>
  </si>
  <si>
    <t>In this study, we considered higher-order endothermic/exothermic chemical reactions with activation energy on Casson hybrid nanofluid flow (Fe3O4 +Al2O3 /C2H6O2) over a moving wedge under the fuzzy atmosphere, which includes the influence of thermal radiation, thermophoresis and Brownian diffusion. The main purpose of this analysis is to investigate the significance of fuzzy volume percentage on Casson hybrid nanofluid flow over a moving wedge. The transmuted nonlinear coupled fuzzy differential equations (FDEs) through the assistance of triangular fuzzy number (TFNs) are resolved employing numerical simulation of Runge-Kutta Fehlberg fourthfifth order (RKF-45) along with shooting technique. The impact of the various physical parameters on heat and mass transfer are depicted in the form of graphs. The results demonstrate that an increase in solid volume fraction parameters (phi(Fe3O4), phi(Al2O3)), endothermic/exothermic reaction parameter (lambda(1)), chemical reaction parameter (sigma(1)), and temperature ratio parameter (delta) enhanced the rate of heat transport (Ht(x)) of hybrid nanofluid. The rate of mass transport (Mt(x)) diminished by raising of Brownian motion parameter (Nb), Lewis number (Le), chemical reaction parameter (sigma(1)), and temperature ratio parameter (delta). Also, for the comparison of nanofluid (Fe3O4 /C2H6O2) and hybrid nanofluid (Fe3O4 +Al2O3 /C2H6O2) through membership function (MF), the solid volume fraction is taken as a TFN [0, 0.05, 0.1]. The MF and TNF are controlled by the (alpha) over tilde -cut, which has the range of [0, 1]. The fuzzy analysis indicates that the Fe3O4 +Al2O3/C2H6O2 hybrid nanofluid provides a higher rate of heat transfer than Fe3O4/C2H6O2 nanofluids.</t>
  </si>
  <si>
    <t>[Shanmugapriya, M.; Sundareswaran, R.] Sri Sivasubramaniya Nadar Coll Engn, Dept Math, Chennai 603110, India; [Krishna, S. Gopi] Rajalakshmi Engn Coll, Dept Math, Chennai 602105, India; [Pal, Madhumangal] Vidyasagar Univ, Dept Appl Math Oceanol &amp; Comp Programming, Midnapore 721102, India</t>
  </si>
  <si>
    <t>SSN College of Engineering; Rajalakshmi Engineering College; Vidyasagar University</t>
  </si>
  <si>
    <t>Shanmugapriya, M (corresponding author), Sri Sivasubramaniya Nadar Coll Engn, Dept Math, Chennai 603110, India.;Pal, M (corresponding author), Vidyasagar Univ, Dept Appl Math Oceanol &amp; Comp Programming, Midnapore 721102, India.</t>
  </si>
  <si>
    <t>10.1016/j.engappai.2024.108119</t>
  </si>
  <si>
    <t>Karmakar, P; Das, S; Jana, RN; Makinde, OD</t>
  </si>
  <si>
    <t>Karmakar, Poly; Das, Sanatan; Jana, Rabindra Nath; Makinde, Oluwole Daniel</t>
  </si>
  <si>
    <t>Dynamic response of a weakly ionized fluid in a vibrating Riga channel exposed to intense electromagnetic rotation</t>
  </si>
  <si>
    <t>MICROFLUIDICS AND NANOFLUIDICS</t>
  </si>
  <si>
    <t>Weakly ionized fluid; Vibrating Riga channel; Intense electromagnetic field; Rotating setting; Chemical reaction; Laplace transform (LT)</t>
  </si>
  <si>
    <t>RAMPED WALL TEMPERATURE; MHD REACTIVE FLOW; THERMAL-RADIATION; POROUS-MEDIUM; MICROPOLAR FLUID; VERTICAL CHANNEL; CONVECTIVE FLOW; 2ND-GRADE FLUID; NANOFLUID FLOW; HEAT-TRANSFER</t>
  </si>
  <si>
    <t>The utilization of external magnetic or electric fields, particularly through a Riga setup, markedly enhances flow dynamics by mitigating frictional forces and turbulent fluctuations, thereby facilitating superior flow management. Such improvements are especially beneficial in optimizing the operational efficiency of machinery and turbines. Our research focuses on the behavior of a weakly ionized fluid within a porous, infinitely extended Riga channel (or electromagnetic channel) set in a rotational framework affected by Hall and ion-slip electric fields. This model integrates the cumulative repulsions of an abruptly applied pressure gradient, electromagnetic forces, electromagnetic radiation, and chemical reactions. The physical configuration of the model features a stationary right wall and a left wall subjected to transverse vibrations, establishing a complex flow environment. This scenario is analytically modeled using time-dependent partial differential equations, with the Laplace transform (LT) method applied to achieve a closed-form solution for the flow controlling equations. Through detailed graphical and tabular data, the study explores the impact of various pivotal parameters on the model's flow traits and quantities. Our results indicate that an upswing in the modified Hartmann number significantly enhances fluid flow within the channel, with the primary flow component showing marked improvement as Hall and ion-slip parameters amplify, and secondary flow component diminishing. Additionally, species concentration lowers with higher Schmidt numbers and chemical reaction rates, while an expanded modified Hartmann number correlate with enhanced shear stresses at the channel wall. Moreover, an elevation in the radiation parameter reduces the rate of heat transfer (RHT) at the vibrating wall, whereas RHT at the stationary wall improves. This study has profound implications across several fields, notably in fusion energy research, spacecraft propulsion systems, satellite operations, aerospace engineering, and advanced manufacturing technologies.</t>
  </si>
  <si>
    <t>[Karmakar, Poly] Gour Mahavidyalaya, Dept Math, Malda 732142, India; [Das, Sanatan] Univ Gour Banga, Dept Math, Malda 732103, India; [Jana, Rabindra Nath] Vidyasagar Univ, Dept Appl Math, Midnapore 721102, India; [Makinde, Oluwole Daniel] Stellenbosch Univ, Fac Mil Sci, Private Bag X2, ZA-7395 Saldanha, South Africa</t>
  </si>
  <si>
    <t>1613-4982</t>
  </si>
  <si>
    <t>1613-4990</t>
  </si>
  <si>
    <t>10.1007/s10404-024-02764-6</t>
  </si>
  <si>
    <t>Nanoscience &amp; Nanotechnology; Instruments &amp; Instrumentation; Physics, Fluids &amp; Plasmas</t>
  </si>
  <si>
    <t>Science &amp; Technology - Other Topics; Instruments &amp; Instrumentation; Physics</t>
  </si>
  <si>
    <t>Das, S; Karmakar, P; Sarkar, S; Ali, A; Jana, RN</t>
  </si>
  <si>
    <t>Das, Sanatan; Karmakar, Poly; Sarkar, Soumitra; Ali, Asgar; Jana, Rabindra Nath</t>
  </si>
  <si>
    <t>Temporal evolution of an optically dense fluid adjacent to an oscillated vertical plate with slip condition</t>
  </si>
  <si>
    <t>Optically dense fluid; Vertically oscillated plate; Thermal radiation; Slippage</t>
  </si>
  <si>
    <t>TOROIDAL SHELL SEGMENTS; FREE-CONVECTION FLOW; CHEMICAL-REACTION; POROUS PLATE; RADIATION-ABSORPTION; NANOFLUID FLOW; HEAT; TEMPERATURE; VIBRATION; HALL</t>
  </si>
  <si>
    <t>This paper explores the time-evolving behaviour of an optically dense fluid in proximity to a vertically oscillating plate with a slip condition. By utilizing the Laplace transform (LT) method, the non-dimensional governing equations are resolved. The study delves into the influence of various parameters on the velocity and temperature distributions and the shear stress and heat transfer rate, presenting these effects through detailed graphical visualizations and thorough analysis. The dynamics of the fluid flow are extensively discussed, particularly contrasting the behaviours in scenarios involving an oscillated plate (OP) and a stationary plate (SP). It is observed that the fluid velocity is consistently higher in the presence of an oscillated plate. The shear stress on the plate upsurges with more intense cooling or heating, while an upswing in the slip parameter tends to reduce the shear stress. Furthermore, the heat transfer rate across the plate is raised with an amplified radiation parameter. The insights from this study have significant implications for various engineering fields, including aerospace and environmental engineering, with practical applications in the design and optimization of heat exchangers, cooling systems, chemical reactors, and in understanding ocean currents near dynamically changing coastal structures.</t>
  </si>
  <si>
    <t>[Das, Sanatan; Karmakar, Poly]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</si>
  <si>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10.1007/s43452-024-00937-2</t>
  </si>
  <si>
    <t>Chaudhuri, Suhnrita; Acharya, Sagar; Chaudhuri, Swapna</t>
  </si>
  <si>
    <t>Therapeutic intervention of glioma with the novel antineoplastic agent T11TS: the story so far</t>
  </si>
  <si>
    <t>IMMUNOTHERAPY</t>
  </si>
  <si>
    <t>[Chaudhuri, Suhnrita] 4D Pharma Res Ltd, Life Sci Innovat Bldg,Cornhill Rd, Aberdeen AB25 2ZS, Scotland; [Chaudhuri, Suhnrita; Acharya, Sagar] Sch Trop Med, Cellular &amp; Mol Immunol Lab, Dept Lab Med, Kolkata 700073, W Bengal, India; [Acharya, Sagar] Vidyasagar Univ, Dept Zool, Paschim Medinipur 721102, W Bengal, India; [Chaudhuri, Swapna] Chittaranjan Natl Canc Inst, Dept Immunoregulat &amp; Immunodiagnost, 37 SP Mukherjee Rd, Kolkata 700026, W Bengal, India</t>
  </si>
  <si>
    <t>Calcutta School of Tropical Medicine (CSTM); Vidyasagar University</t>
  </si>
  <si>
    <t>Chaudhuri, S (corresponding author), Chittaranjan Natl Canc Inst, Dept Immunoregulat &amp; Immunodiagnost, 37 SP Mukherjee Rd, Kolkata 700026, W Bengal, India.</t>
  </si>
  <si>
    <t>FUTURE MEDICINE LTD</t>
  </si>
  <si>
    <t>UNITEC HOUSE, 3RD FLOOR, 2 ALBERT PLACE, FINCHLEY CENTRAL, LONDON, N3 1QB, ENGLAND</t>
  </si>
  <si>
    <t>1750-743X</t>
  </si>
  <si>
    <t>1750-7448</t>
  </si>
  <si>
    <t>10.2217/imt-2021-0329</t>
  </si>
  <si>
    <t>Dey, Asit; Senapati, Tapan; Pal, Madhumangal; Chen, Guiyun</t>
  </si>
  <si>
    <t>Pythagorean fuzzy soft RMS approach to decision making and medical diagnosis</t>
  </si>
  <si>
    <t>AFRIKA MATEMATIKA</t>
  </si>
  <si>
    <t>[Dey, Asit; Pal, Madhumangal] Vidyasagar Univ, Dept Appl Math Oceanol &amp; Comp Programming, Midnapore 721102, India; [Senapati, Tapan; Chen, Guiyun] Southwest Univ, Sch Math &amp; Stat, Chongqing 400715, Peoples R China; [Senapati, Tapan] Padima Janakalyan Banipith, Dept Math, Kukrakhupi 721517, India</t>
  </si>
  <si>
    <t>Vidyasagar University; Southwest University - China</t>
  </si>
  <si>
    <t>Senapati, T (corresponding author), Southwest Univ, Sch Math &amp; Stat, Chongqing 400715, Peoples R China.;Senapati, T (corresponding author), Padima Janakalyan Banipith, Dept Math, Kukrakhupi 721517, India.</t>
  </si>
  <si>
    <t>1012-9405</t>
  </si>
  <si>
    <t>2190-7668</t>
  </si>
  <si>
    <t>AFR MAT</t>
  </si>
  <si>
    <t>Afr. Mat.</t>
  </si>
  <si>
    <t>10.1007/s13370-022-01031-7</t>
  </si>
  <si>
    <t>Hor, Papan Kumar; Goswami, Debabrata; Ghosh, Kuntal; Tako, Miklos; Halder, Suman Kumar; Mondal, Keshab Chandra</t>
  </si>
  <si>
    <t>Preparation of rice fermented food using root of Asparagus racemosus as herbal starter and assessment of its nutrient profile</t>
  </si>
  <si>
    <t>[Hor, Papan Kumar; Goswami, Debabrata; Halder, Suman Kumar; Mondal, Keshab Chandra] Vidyasagar Univ, Dept Microbiol, Midnapore 721102, W Bengal, India; [Ghosh, Kuntal] Midnapore City Coll, Dept Biol Sci, Midnapore, India; [Tako, Miklos] Univ Szeged, Fac Sci &amp; Informat, Dept Microbiol, Szeged, Hungary</t>
  </si>
  <si>
    <t>Vidyasagar University; Szeged University</t>
  </si>
  <si>
    <t>10.1007/s43393-021-00046-8</t>
  </si>
  <si>
    <t>Yang, Xiaopeng; Hayat, Khizar; Raja, Muhammad Saeed; Yaqoob, Naveed; Jana, Chiranjibe</t>
  </si>
  <si>
    <t>Aggregation and Interaction Aggregation Soft Operators on Interval-Valued q-Rung Orthopair Fuzzy Soft Environment and Application in Automation Company Evaluation</t>
  </si>
  <si>
    <t>[Yang, Xiaopeng] Hanshan Normal Univ, Sch Math &amp; Stat, Chaozhou 521041, Peoples R China; [Hayat, Khizar; Raja, Muhammad Saeed] Univ Kotli, Dept Math, Azad Jammu Kashmir 11100, Pakistan; [Raja, Muhammad Saeed; Yaqoob, Naveed] Riphah Int Univ, Dept Math, Islamabad 46000, Pakistan; [Jana, Chiranjibe] Vidyasagar Univ, Dept Appl Math Oceanol &amp; Comp Programming, Midnapore 721102, India</t>
  </si>
  <si>
    <t>Hanshan Normal University; Vidyasagar University</t>
  </si>
  <si>
    <t>Yang, XP (corresponding author), Hanshan Normal Univ, Sch Math &amp; Stat, Chaozhou 521041, Peoples R China.;Hayat, K (corresponding author), Univ Kotli, Dept Math, Azad Jammu Kashmir 11100, Pakistan.</t>
  </si>
  <si>
    <t>10.1109/ACCESS.2022.3202211</t>
  </si>
  <si>
    <t>Pattanayek, S; Sahoo, NK; Nasrin, A; Saha, I; Dhal, A; Paria, S; Karmakar, P; Islam, MM; Hossain, M</t>
  </si>
  <si>
    <t>Pattanayek, Swadesh; Sahoo, Nandan Kumar; Nasrin, Aziza; Saha, Ishita; Dhal, Asima; Paria, Samaresh; Karmakar, Parimal; Islam, Md Maidul; Hossain, Maidul</t>
  </si>
  <si>
    <t>Facile and green synthesis of highly fluorescence carbon dots derived from Mucuna pruriens seeds: A versatile platform for sensitive detection of Au3+ ions and in vitro cell imaging</t>
  </si>
  <si>
    <t>Carbon dots (CDs); Mucuna pruriens; Hydrothermal method; Au3+ ions sensing; PC3 cell imaging</t>
  </si>
  <si>
    <t>GOLD NANOPARTICLES; DRUG-DELIVERY; QUANTUM DOTS; NITROGEN; SURFACE; WATER; SHELL; BLUE; PH</t>
  </si>
  <si>
    <t>In this work, we have established a simple, efficient, non-toxic, cost-effective and completely green strategy to synthesize carbon dots (CDs) using Mucuna pruriens (alkushi) seeds. Synthesized CDs through facile one-pot hydrothermal route has a spherical shape with an average diameter of 4.02 nm. Surface analysis of these CDs was performed utilizing XPS, FTIR, and zeta potential measurement, confirming the presence of -OH, -NH2, and -COOH groups. The obtained CDs exhibit excellent photostability, high quantum yield and possess outstanding water solubility. Moreover, these CDs provide high response for detection of Au3+ ions through fluorescence quenching with a noticeable change in colour of the solution (colorimetric). The LOD was calculated to be 51.20 nM using 3 sigma/k rule. The mechanism of sensing was established through FTIR, florescence lifetime, UV and Isothermal Titration Calorimetry (ITC). These experiments indicate that a ground state complex formed between CDs and Au3+ ions and subsequent reduction to Au-0. The specificity towards Au3+ ions was tested against different interfering ions and was implemented to analysis the real sample. The synthesized CDs have also the potential to be applied in temperature sensing application. The cytotoxicity and biocompatibility were evaluated against prostate cancer cell line (PC3 cell) and a human lung fibroblast cell line (WI38 cell). Finally, Non-cytotoxic CDs were applied for live cell imaging and in vitro sensing of Au3+ ions.</t>
  </si>
  <si>
    <t>[Pattanayek, Swadesh; Sahoo, Nandan Kumar; Nasrin, Aziza; Dhal, Asima; Paria, Samaresh; Hossain, Maidul] Vidyasagar Univ, Dept Chem &amp; Chem Tecchnol, Midnapore 721102, W Bengal, India; [Saha, Ishita; Karmakar, Parimal] Jadavpur Univ, Dept Life Sci &amp; Biotechnol, Kolkata 700032, India; [Islam, Md Maidul] Aliah Univ, Dept Chem, Kolkata, India</t>
  </si>
  <si>
    <t>Vidyasagar University; Jadavpur University; Aliah University</t>
  </si>
  <si>
    <t>Hossain, M (corresponding author), Vidyasagar Univ, Dept Chem &amp; Chem Tecchnol, Midnapore 721102, W Bengal, India.</t>
  </si>
  <si>
    <t>10.1016/j.jece.2024.113932</t>
  </si>
  <si>
    <t>Dynamics pattern of a radioactive rGO-magnetite-water flowed by a vibrated Riga plate sensor with ramped temperature and concentration</t>
  </si>
  <si>
    <t>10.1016/j.ceja.2023.100517</t>
  </si>
  <si>
    <t>Dandapat, Biswajit; Biswas, Sourav; Patra, Banasri</t>
  </si>
  <si>
    <t>Religion, nutrition and birth weight among currently married women (15-49) in India: A study based on NFHS-5</t>
  </si>
  <si>
    <t>[Dandapat, Biswajit] Ravenshaw Univ, Dept Geog, Cuttack 753003, India; [Biswas, Sourav] Int Inst Populat Sci, Dept Populat &amp; Dev, Mumbai 400088, India; [Patra, Banasri] Vidyasagar Univ, Dept Geog &amp; Environm Management, Midnapore 721102, India; [Biswas, Sourav] Govandi Stn Rd,Opposite Sanjona Chamber, Mumbai 400088, Maharashtra, India</t>
  </si>
  <si>
    <t>Ravenshaw University; International Institute for Population Sciences; Vidyasagar University</t>
  </si>
  <si>
    <t>Biswas, S (corresponding author), Govandi Stn Rd,Opposite Sanjona Chamber, Mumbai 400088, Maharashtra, India.</t>
  </si>
  <si>
    <t>10.1016/j.cegh.2023.101218</t>
  </si>
  <si>
    <t>Dutta, Rakesh; Das, Nilanjana; Majumder, Mukta; Jana, Biswapati</t>
  </si>
  <si>
    <t>Aspect based sentiment analysis using multi-criteria decision-making and deep learning under COVID-19 pandemic in India</t>
  </si>
  <si>
    <t>CAAI TRANSACTIONS ON INTELLIGENCE TECHNOLOGY</t>
  </si>
  <si>
    <t>[Dutta, Rakesh] Hijli Coll, Dept Comp Sci &amp; Applicat, Kharagpur, W Bengal, India; [Das, Nilanjana] WBSEDCL, Midnapore Zone, Midnapore, W Bengal, India; [Majumder, Mukta] Univ North Bengal, Dept Comp Sci &amp; Applicat, Siliguri, India; [Jana, Biswapati] Vidyasagar Univ, Dept Comp Sci, Midnapore, W Bengal, India</t>
  </si>
  <si>
    <t>Majumder, M (corresponding author), Univ North Bengal, Dept Comp Sci &amp; Applicat, Siliguri, India.</t>
  </si>
  <si>
    <t>2468-6557</t>
  </si>
  <si>
    <t>2468-2322</t>
  </si>
  <si>
    <t>10.1049/cit2.12144</t>
  </si>
  <si>
    <t>Ghosh, Shyamali; Roy, Sankar Kumar; Luis Verdegay, Jose</t>
  </si>
  <si>
    <t>Fixed-charge solid transportation problem with budget constraints based on carbon emission in neutrosophic environment</t>
  </si>
  <si>
    <t>[Ghosh, Shyamali; Roy, Sankar Kumar] Vidyasagar Univ, Dept Appl Math Oceanol &amp; Comp Programming, Midnapore 721102, W Bengal, India; [Luis Verdegay, Jose] Univ Granada, Dept Comp Sci &amp; Artificial Intelligence, Granada, Spain</t>
  </si>
  <si>
    <t>Vidyasagar University; University of Granada</t>
  </si>
  <si>
    <t>10.1007/s00500-022-07442-9</t>
  </si>
  <si>
    <t>Mondal, Saswati Parua; Ghosh, Kuntal; Hor, Papan K.; Samanta, Saptadip; Mondal, Keshab Chandra</t>
  </si>
  <si>
    <t>Dietotherapeutic potency of ornamental lentil dumpling, a traditional food preparation from South West Bengal, India</t>
  </si>
  <si>
    <t>[Mondal, Saswati Parua] Dept Physiol, Bajkul Milani Mahavidyalaya, Purba Medinipur, W Bengal, India; [Ghosh, Kuntal] Midnapore City Coll, Dept Biol Sci, Purba Medinipur 721129, W Bengal, India; [Hor, Papan K.; Mondal, Keshab Chandra] Vidyasagar Univ, Dept Microbiol, Midnapore 721102, W Bengal, India; [Samanta, Saptadip] Midnapore Coll, Dept Physiol, Midnapore, W Bengal, India</t>
  </si>
  <si>
    <t>Mondal, SP (corresponding author), Dept Physiol, Bajkul Milani Mahavidyalaya, Purba Medinipur, W Bengal, India.</t>
  </si>
  <si>
    <t>10.56042/ijeb.v60i09.65133</t>
  </si>
  <si>
    <t>Ghosh, Shyamali; Kuefer, Karl-Heinz; Roy, Sankar Kumar; Weber, Gerhard-Wilhelm</t>
  </si>
  <si>
    <t>Carbon mechanism on sustainable multi-objective solid transportation problem for waste management in Pythagorean hesitant fuzzy environment</t>
  </si>
  <si>
    <t>[Ghosh, Shyamali; Roy, Sankar Kumar] Vidyasagar Univ, Dept Appl Math Oceanol &amp; Comp Programming, Midnapore 721102, W Bengal, India; [Kuefer, Karl-Heinz] Fraunhofer Inst Techno &amp; Wirtschaftsmath ITWM, Dept Optimizat &amp; Operat Res, Fraunhofer Pl 1, D-67663 Kaiserslautern, Germany; [Weber, Gerhard-Wilhelm] Poznan Univ Tech, Fac Engn Management, Poznan, Poland</t>
  </si>
  <si>
    <t>Vidyasagar University; Fraunhofer Gesellschaft; Poznan University of Technology</t>
  </si>
  <si>
    <t>10.1007/s40747-022-00686-w</t>
  </si>
  <si>
    <t>Bisai, Kampan; Kumar, Vikash; Roy, Arpita; Parida, Satya Narayan; Dhar, Souvik; Das, Basanta Kumar; Behera, Bijay Kumar; Pati, Manoj Kumar</t>
  </si>
  <si>
    <t>Effects of Di-(2-Ethylhexyl) Phthalate (DEHP) on Gamete Quality Parameters of Male Koi Carp (Cyprinus carpio)</t>
  </si>
  <si>
    <t>CURRENT ISSUES IN MOLECULAR BIOLOGY</t>
  </si>
  <si>
    <t>[Bisai, Kampan; Kumar, Vikash; Roy, Arpita; Parida, Satya Narayan; Dhar, Souvik; Das, Basanta Kumar] ICAR Cent Inland Fisheries Res Inst, Biotechnol Lab, Kolkata 700120, W Bengal, India; [Bisai, Kampan; Pati, Manoj Kumar] Vidyasagar Univ, Dept Fishery Sci, Midnapore 721102, West Bengal, India; [Behera, Bijay Kumar] Rani Lakshmi Bai Cent Agr Univ, Coll Fisheries, Gwalior Rd, Jhansi 284003, Uttar Pradesh, India</t>
  </si>
  <si>
    <t>Pati, MK (corresponding author), Vidyasagar Univ, Dept Fishery Sci, Midnapore 721102, West Bengal, India.;Behera, BK (corresponding author), Rani Lakshmi Bai Cent Agr Univ, Coll Fisheries, Gwalior Rd, Jhansi 284003, Uttar Pradesh, India.</t>
  </si>
  <si>
    <t>1467-3037</t>
  </si>
  <si>
    <t>1467-3045</t>
  </si>
  <si>
    <t>10.3390/cimb45090467</t>
  </si>
  <si>
    <t>Biochemistry &amp; Molecular Biology</t>
  </si>
  <si>
    <t>Maity, Suman; Chakraborty, Avishek; De, Sujit Kumar; Pal, Madhumangal</t>
  </si>
  <si>
    <t>A study of an EOQ model of green items with the effect of carbon emission under pentagonal intuitionistic dense fuzzy environment</t>
  </si>
  <si>
    <t>[Maity, Suman] Raja NL Khan Womens Coll Autonomous, Dept Math, Phulpahari, West Bengal, India; [Chakraborty, Avishek] Narula Inst Technol, Dept Basic Sci, Kolkata 700001, West Bengal, India; [De, Sujit Kumar] Midnapore Coll Autonomous, Dept Math, Midnapore, West Bengal, India; [Maity, Suman; Pal, Madhumangal] Vidyasagar Univ, Dept Appl Math Oceanol &amp; Comp Programming, Paschim Medinipur 721102, West Bengal, India</t>
  </si>
  <si>
    <t>Pal, M (corresponding author), Vidyasagar Univ, Dept Appl Math Oceanol &amp; Comp Programming, Paschim Medinipur 721102, West Bengal, India.</t>
  </si>
  <si>
    <t>10.1007/s00500-023-08636-5</t>
  </si>
  <si>
    <t>Chini, Deep Sankar; Mondal, Niladri; Kar, Avijit; Bunholi, Ingrid; Singh, Sourav; Ghosh, Pratik; Patra, Prasanta; Patra, Shampa; Patra, Bidhan Chandra</t>
  </si>
  <si>
    <t>Seasonal Variability of Marine Fish Diversity in Relation to Water Quality of East Midnapore Coast of West Bengal, India</t>
  </si>
  <si>
    <t>OCEAN SCIENCE JOURNAL</t>
  </si>
  <si>
    <t>[Chini, Deep Sankar; Mondal, Niladri; Kar, Avijit; Ghosh, Pratik; Patra, Prasanta; Patra, Shampa; Patra, Bidhan Chandra] Vidyasagar Univ, Dept Zool, Midnapore 721102, India; [Mondal, Niladri; Bunholi, Ingrid] Indiana State Univ, Dept Biol, Terre Haute, IN 47809 USA; [Singh, Sourav] Vidyasagar Univ, Dept Geog &amp; Environm Management, Midnapore 721102, India</t>
  </si>
  <si>
    <t>Vidyasagar University; Indiana State University; Vidyasagar University</t>
  </si>
  <si>
    <t>Patra, BC (corresponding author), Vidyasagar Univ, Dept Zool, Midnapore 721102, India.</t>
  </si>
  <si>
    <t>KOREA INST OCEAN SCIENCE &amp; TECHNOLOGY-KIOST</t>
  </si>
  <si>
    <t>BUSAN</t>
  </si>
  <si>
    <t>HAEYANG-RO 385, YEONGDO-GU, BUSAN, SOUTH KOREA</t>
  </si>
  <si>
    <t>1738-5261</t>
  </si>
  <si>
    <t>2005-7172</t>
  </si>
  <si>
    <t>OCEAN SCI J</t>
  </si>
  <si>
    <t>Ocean Sci. J.</t>
  </si>
  <si>
    <t>10.1007/s12601-023-00107-0</t>
  </si>
  <si>
    <t>Marine &amp; Freshwater Biology; Oceanography</t>
  </si>
  <si>
    <t>Dalal, Subhamita; Adhikary, Jayashree; Roy, Anup; Biswas, Shampa Sarkar; Mukhopadhyay, Prabir Kumar; Acharya, Sagar; Ghosh, Amlan</t>
  </si>
  <si>
    <t>Impact of hyperglycemia on the expression of GLUT1 during oral carcinogenesis in rats</t>
  </si>
  <si>
    <t>MOLECULAR BIOLOGY REPORTS</t>
  </si>
  <si>
    <t>[Dalal, Subhamita; Adhikary, Jayashree; Biswas, Shampa Sarkar; Mukhopadhyay, Prabir Kumar; Ghosh, Amlan] Presidency Univ, Dept Life Sci, Kolkata, W Bengal, India; [Roy, Anup] NRS Med Coll &amp; Hosp, Dept Pathol, Kolkata, W Bengal, India; [Acharya, Sagar] Vidyasagar Univ, Dept Zool, Midnapore, W Bengal, India; [Ghosh, Amlan] Presidency Univ, Dept Life Sci, Genet Noncommunicable Dis, 86-1 Coll St, Kolkata 700073, India</t>
  </si>
  <si>
    <t>Presidency University, Kolkata; Vidyasagar University; Presidency University, Kolkata</t>
  </si>
  <si>
    <t>Ghosh, A (corresponding author), Presidency Univ, Dept Life Sci, Kolkata, W Bengal, India.;Ghosh, A (corresponding author), Presidency Univ, Dept Life Sci, Genet Noncommunicable Dis, 86-1 Coll St, Kolkata 700073, India.</t>
  </si>
  <si>
    <t>0301-4851</t>
  </si>
  <si>
    <t>1573-4978</t>
  </si>
  <si>
    <t>10.1007/s11033-022-07653-1</t>
  </si>
  <si>
    <t>Das, Sanatan; Mahato, Naspa; Ali, Asgar; Jana, Rabindra Nath</t>
  </si>
  <si>
    <t>Aspects of Arrhenius kinetics and Hall currents on gyratory Couette flow of magnetized ethylene glycol containing bi-hybridized nanomaterials</t>
  </si>
  <si>
    <t>HEAT TRANSFER</t>
  </si>
  <si>
    <t>[Das, Sanatan] Univ Gour Banga, Dept Math, Malda, India; [Mahato, Naspa] Barrackpore Rastraguru Surendranath Coll, Dept Math, Kolkata, India; [Ali, Asgar] Bajkul Milani Mahavidyalaya, Dept Math, Bajkul, India; [Jana, Rabindra Nath] Vidyasagar Univ, Dept Appl Math, Midnapore, India; [Das, Sanatan] Univ Gour Banga, Dept Math, Malda 732103, India</t>
  </si>
  <si>
    <t>University of Gour Banga; Vidyasagar University; University of Gour Banga</t>
  </si>
  <si>
    <t>111 RIVER ST, HOBOKEN, NJ 07030 USA</t>
  </si>
  <si>
    <t>2688-4534</t>
  </si>
  <si>
    <t>2688-4542</t>
  </si>
  <si>
    <t>10.1002/htj.22814</t>
  </si>
  <si>
    <t>Thermodynamics</t>
  </si>
  <si>
    <t>Kshatriya, Gautam K.; Acharya, Subhendu K.; Chanak, Mahua; Bose, Kaushik</t>
  </si>
  <si>
    <t>PREVALENCE OF PREHYPERTENSION AND HYPERTENSION AMONG TRIBAL ADULTS OF INDIA</t>
  </si>
  <si>
    <t>ANTHROPOLOGIE-INTERNATIONAL JOURNAL OF HUMAN DIVERSITY AND EVOLUTION</t>
  </si>
  <si>
    <t>[Kshatriya, Gautam K.] Univ Delhi, Dept Anthropol, Delhi 110007, India; [Acharya, Subhendu K.] ICMR, Reg Res Ctr, Bhubaneswar 751023, Odisha, India; [Chanak, Mahua; Bose, Kaushik] Vidyasagar Univ, Dept Anthropol, Midnapore 721102, W Bengal, India</t>
  </si>
  <si>
    <t>University of Delhi; Indian Council of Medical Research (ICMR); Vidyasagar University</t>
  </si>
  <si>
    <t>Chanak, M (corresponding author), Vidyasagar Univ, Dept Anthropol, Midnapore 721102, W Bengal, India.</t>
  </si>
  <si>
    <t>MORAVIAN MUSEUM</t>
  </si>
  <si>
    <t>BRNO</t>
  </si>
  <si>
    <t>ZELNY TRH 6, BRNO, 65937, CZECH REPUBLIC</t>
  </si>
  <si>
    <t>0323-1119</t>
  </si>
  <si>
    <t>ANTHROPOL-INT J HUM</t>
  </si>
  <si>
    <t>Anthropol.-Int. J. Hum. Diversity Evol.</t>
  </si>
  <si>
    <t>10.26720/anthro.23.04.21.1</t>
  </si>
  <si>
    <t>Anuradha, T.; Surekha, T. Lakshmi; Nuthakki, Praveena; Domathoti, Bullarao; Ghorai, Ganesh; Shami, Faria Ahmed</t>
  </si>
  <si>
    <t>Graph Theory Algorithms of Hamiltonian Cycle from Quasi-Spanning Tree and Domination Based on Vizing Conjecture</t>
  </si>
  <si>
    <t>[Anuradha, T.; Surekha, T. Lakshmi; Nuthakki, Praveena] Velagapudi Ramakrishna Siddhartha Engn Coll, Dept Informat Technol, Vijayawada, Andhra Pradesh, India; [Domathoti, Bullarao] Jawaharlal Nehru Technol Univ, Dept Comp Sci &amp; Engn, Ananthapuram 517501, India; [Ghorai, Ganesh] Vidyasagar Univ, Dept Appl Math Oceanol &amp; Comp Programming, Midnapore 721102, India; [Shami, Faria Ahmed] Bangabandhu Sheikh Mujibur Rahman Sci &amp; Technol Un, Dept Math, Gopalganj, Bangladesh</t>
  </si>
  <si>
    <t>Velagapudi Ramakrishna Siddhartha Engineering College; Vidyasagar University</t>
  </si>
  <si>
    <t>Anuradha, T (corresponding author), Velagapudi Ramakrishna Siddhartha Engn Coll, Dept Informat Technol, Vijayawada, Andhra Pradesh, India.;Domathoti, B (corresponding author), Jawaharlal Nehru Technol Univ, Dept Comp Sci &amp; Engn, Ananthapuram 517501, India.;Shami, FA (corresponding author), Bangabandhu Sheikh Mujibur Rahman Sci &amp; Technol Un, Dept Math, Gopalganj, Bangladesh.</t>
  </si>
  <si>
    <t>10.1155/2022/1618498</t>
  </si>
  <si>
    <t>Das, PK; Sarkar, S; Das, R; Dutta, D; Pathak, S</t>
  </si>
  <si>
    <t>Das, Prabir Kumar; Sarkar, Subhadip; Das, Rituparna; Dutta, Dipanwita; Pathak, Suparn</t>
  </si>
  <si>
    <t>Comparative assessment of gridded soil moisture data products (2000-2019) for drought detection: A study over Indian region</t>
  </si>
  <si>
    <t>Gridded data; Soil moisture drought; Standardized soil moisture index; Trends; Frequency analysis</t>
  </si>
  <si>
    <t>AGRICULTURAL DROUGHT; INDEX; FRAMEWORK</t>
  </si>
  <si>
    <t>The soil moisture drought is an intermediate event between meteorological and agricultural droughts. The information on soil moisture droughts provides an indication about the resilience of the agricultural systems. In the present study, a comparative assessment of the monthly soil moisture gridded data products of Modern Era Retrospective analysis for Research and Applications, i.e., MERRA-2 (0.5 degrees x 0.5 degrees), Climate Prediction Center, i.e., CPC (0.5 degrees x 0.5 degrees), Global Land Data Assimilation System, i.e., GLDAS (0.25 degrees x 0.25 degrees), and European Space Agency Climate Change Initiative, i.e., ESA CCI (0.25 degrees x 0.25 degrees) during 2000 to 2019 was carried out in terms of drought occurrence and severity. The long-term soil moisture information was transformed into standardized soil moisture index (SSMI) using nonparametric distribution, followed by computation of drought duration and magnitude using thresholding approach. The long-term trends of drought parameters, i.e., duration and magnitude, were extracted using Mann-Kendall test and Sen's Slope method, respectively. It was interesting to note that irrespective of zones, the SSMI derived from MERRA-2 and CPC have maximum coherence in terms of both pattern and intensity, followed by GLDAS. The trends of drought duration and magnitude differ based on the data products; however, frequent droughts were observed over parts of peninsular India and Indo-Gangetic plains irrespective of data products. The increased drought duration and magnitude were found over major parts of central and peninsular India, western parts of north-eastern India and eastern parts of north-western India.</t>
  </si>
  <si>
    <t>[Das, Prabir Kumar; Das, Rituparna; Pathak, Suparn] Natl Remote Sensing Ctr, Reg Remote Sensing Ctr East, Kolkata 700163, W Bengal, India; [Sarkar, Subhadip; Dutta, Dipanwita] Vidyasagar Univ, Dept Remote Sensing &amp; GIS, Midnapore 721102, W Bengal, India</t>
  </si>
  <si>
    <t>Department of Space (DoS), Government of India; Indian Space Research Organisation (ISRO); National Remote Sensing Centre (NRSC); Vidyasagar University</t>
  </si>
  <si>
    <t>Das, PK (corresponding author), Natl Remote Sensing Ctr, Reg Remote Sensing Ctr East, Kolkata 700163, W Bengal, India.</t>
  </si>
  <si>
    <t>10.1007/s11600-024-01418-z</t>
  </si>
  <si>
    <t>Ghosh, Pratik; Patra, Prasanta; Mondal, Niladri; Chini, Deep Sankar; Patra, Bidhan Chandra</t>
  </si>
  <si>
    <t>Multi Epitopic Peptide Based Vaccine Development Targeting Immobilization Antigen of Ichthyophthirius multifiliis: A Computational Approach</t>
  </si>
  <si>
    <t>INTERNATIONAL JOURNAL OF PEPTIDE RESEARCH AND THERAPEUTICS</t>
  </si>
  <si>
    <t>[Ghosh, Pratik; Patra, Prasanta; Mondal, Niladri; Chini, Deep Sankar; Patra, Bidhan Chandra] Vidyasagar Univ, Dept Zool, Midnapore 721102, West Bengal, India; [Mondal, Niladri] Indiana State Univ, Dept Biol, Terre Haute, IN 47809 USA</t>
  </si>
  <si>
    <t>Vidyasagar University; Indiana State University</t>
  </si>
  <si>
    <t>Patra, BC (corresponding author), Vidyasagar Univ, Dept Zool, Midnapore 721102, West Bengal, India.</t>
  </si>
  <si>
    <t>1573-3149</t>
  </si>
  <si>
    <t>1573-3904</t>
  </si>
  <si>
    <t>INT J PEPT RES THER</t>
  </si>
  <si>
    <t>Int. J. Pept. Res. Ther.</t>
  </si>
  <si>
    <t>10.1007/s10989-022-10475-1</t>
  </si>
  <si>
    <t>Mallick, A; Sarkar, S; Lopes, BS; Das, S</t>
  </si>
  <si>
    <t>Mallick, Abhi; Sarkar, Soma; Lopes, Bruno Silvester; Das, Surojit</t>
  </si>
  <si>
    <t>Drug-resistant Pantoea agglomerans Causing Bacteremia at a Tertiary Care Hospital in Kolkata, India: First Report of Carbapenem Resistance Mediated by OXA-181</t>
  </si>
  <si>
    <t>THORN INJURY; PLANT THORN; EPIDEMIOLOGY; EMERGENCE; INFECTION</t>
  </si>
  <si>
    <t>The spread of antibiotic resistance (ABR) in uncommon human pathogens endangers global public health, escalating morbidity, death, and healthcare expenditures. Pantoea agglomerans, a member of the Erwiniaceae family that rarely infects humans, is emerging as a drug-resistant nosocomial pathogen. Seven P. agglomerans isolates were recovered from bacteremia patients at a tertiary care hospital in Kolkata, West Bengal, between March 2022 and October 2022. The isolates were evaluated for phenotypic resistance, beta-lactamase and plasmid-mediated quinolone resistance (PMQR) genes, plasmid profiling, and clonality assessment. All isolates were resistant to fluoroquinolones and third-generation cephalosporins, with four resistant to carbapenems. The following beta-lactamases and PMQR genes were identified: bla(OXA)-1 (n = 1), bla(TEM )(n = 1), bla(CTX-M-1) (n = 2), bla(NDM )(n = 5), bla(OXA-181) (n = 1), qnrB (n = 2), and qnrS (n = 4). Six isolates carried up to seven plasmids ranging in size from 2 kb to &gt; 212 kb. IncFI, FII, HI, and X3 plasmid types were detected in three isolates, while the rest remained untypable. Four different genetic patterns were noted. Four isolates were clonally related, with three being clonal. The swap of environmental isolates to human pathogens exacerbates the ABR dilemma, periling patient care and outcomes. This is the first report in India of a carbapenem-resistant P. agglomerans blood isolate carrying blaOXA-181. In-depth genomic research of drug-resistant microbes adapted to the environment-human interfaces might underpin the source-route-containment of ABR.</t>
  </si>
  <si>
    <t>[Mallick, Abhi; Das, Surojit] Vidyasagar Univ, Biomed Lab Sci &amp; Management, Midnapore, West Bengal, India; [Sarkar, Soma] Nil Ratan Sircar Med Coll &amp; Hosp, Microbiol, Kolkata, West Bengal, India; [Lopes, Bruno Silvester] Teesside Univ, Sch Hlth &amp; Life Sci, Middlesbrough TS1 3BA, England; [Lopes, Bruno Silvester] Teesside Univ, Natl Horizons Ctr, Darlington DL1 1HG, England</t>
  </si>
  <si>
    <t>Vidyasagar University; University of Teesside; University of Teesside</t>
  </si>
  <si>
    <t>Das, S (corresponding author), Vidyasagar Univ, Biomed Lab Sci &amp; Management, Midnapore, West Bengal, India.;Lopes, BS (corresponding author), Teesside Univ, Sch Hlth &amp; Life Sci, Middlesbrough TS1 3BA, England.;Lopes, BS (corresponding author), Teesside Univ, Natl Horizons Ctr, Darlington DL1 1HG, England.</t>
  </si>
  <si>
    <t>10.1007/s00284-024-03888-2</t>
  </si>
  <si>
    <t>Karmakar, P; Das, S; Mahato, N; Ali, A; Jana, RN</t>
  </si>
  <si>
    <t>Karmakar, P.; Das, S.; Mahato, N.; Ali, A.; Jana, R. N.</t>
  </si>
  <si>
    <t>Dynamics prediction using an artificial neural network for a weakly conductive ionized fluid streamed over a vibrating electromagnetic plate</t>
  </si>
  <si>
    <t>RAMPED WALL TEMPERATURE; RADIATIVE CASSON FLUID; VERTICAL PLATE; NANOFLUID FLOW; RIGA-PLATE; CHEMICAL-REACTION; CONVECTIVE FLOW; POROUS PLATE; SLIP-FLOW; HEAT</t>
  </si>
  <si>
    <t>Recently, the study of weak conductor dynamics influenced by an electromagnetic (Riga) plate has garnered scholarly interest, taking into account various physical factors. Electromagnetic sensors find extensive use across engineering and industrial domains, spurring our exploration into the flow characteristics and heat-mass transfer mechanisms of a mildly conducting ionized fluid near an oscillating electromagnetic plate embedded within porous structures. The chosen flow scenario is meticulously modeled, encapsulating various physical dynamics such as radiative heat discharge, chemical interactions, Darcian porous drag effects, buoyancy forces, and velocity slippage conditions. Within this context, the Darcy model is employed to articulate drag influences in the porous domain. The resulting flow model is mathematically articulated as a set of time-dependent partial differential equations (PDEs). Leveraging the Laplace transform (LT) approach, we derive concise representations for the core variables in the model. In our study, dimensionless fluid velocity, temperature, and concentration gradients are extensively graphed, and the corresponding non-dimensional heat transfer, mass transfer, and friction rates are tabled. Key observations highlight an amplification in the velocity with an enhancement in the modified Hartmann number and diminishing with an enlargement in the Darcy number. Higher radiative heat intensities correspondingly dissipate more energy, cooling the medium further. Notably, the chemical reactions induce higher heat and mass transfer rates in the hybrid nanofluid. An artificial neural network (ANN) model is also developed based on reference datasets procured via the LT evaluation. This ANN framework exhibits commendable precision in predicting essential flow quantities, achieving an impressive 99.95% Such innovative insights from this research hold great promise for practical applications in steam generators, chemical reactors, electromagnetic sensors and gadgets, and material processing phase transitions.</t>
  </si>
  <si>
    <t>[Karmakar, P.; Das, S.] Univ Gour Banga, Dept Math, Malda 732103, India; [Mahato, N.] Barrackpore Rastraguru Surendranath Coll, Dept Math, Kolkata 700120, India; [Ali, A.] Bajkul Milani Mahavidyalaya, Dept Math, Midnapore 721655, India; [Jana, R. N.] Vidyasagar Univ, Dept Appl Math, Midnapore 721102, India</t>
  </si>
  <si>
    <t>10.1140/epjp/s13360-024-05197-w</t>
  </si>
  <si>
    <t>Ghosh, P; Bhaumik, A; Weber, GW; Roy, SK</t>
  </si>
  <si>
    <t>Ghosh, Piyush; Bhaumik, Ankan; Weber, Gerhard wilhelm; Roy, Sankar kumar</t>
  </si>
  <si>
    <t>SOLVING MATRIX GAME USING ROUGH INTERVAL PAYOFFS</t>
  </si>
  <si>
    <t>JOURNAL OF DYNAMICS AND GAMES</t>
  </si>
  <si>
    <t>. In this paper, we conduct an analysis of a matrix game using rough interval payoffs, which we refer to as the rough interval matrix game (RIMG). We employ three methods to address the problem at hand: linear programming, graphical method, and algebraic method. The proposed approach offers several key advantages over existing methods, which we highlight. We introduce algorithms associated with each of the three mentioned methods to obtain optimal solutions for the RIMG. To validate the effectiveness of our proposed techniques, we present two numerical examples and apply the methodologies to solve them. In conclusion, we summarize the findings of our study and discuss potential avenues for future research based on the insights provided in this paper.</t>
  </si>
  <si>
    <t>[Ghosh, Piyush; Bhaumik, Ankan; Roy, Sankar kumar] Vidyasagar Univ, Dept Appl Math Oceanol &amp; Comp Programming, Midnapore 721102, West Bengal, India; [Weber, Gerhard wilhelm] Poznan Technol Univ, Fac Management Engn, Poznan, Poland; [Weber, Gerhard wilhelm] Middle East Tech Univ, Inst Appl Math, Ankara, Turkiye</t>
  </si>
  <si>
    <t>Vidyasagar University; Poznan University of Technology; Middle East Technical University</t>
  </si>
  <si>
    <t>2164-6066</t>
  </si>
  <si>
    <t>2164-6074</t>
  </si>
  <si>
    <t>J DYN GAMES</t>
  </si>
  <si>
    <t>J. Dyn. Games</t>
  </si>
  <si>
    <t>10.3934/jdg.2024010</t>
  </si>
  <si>
    <t>Sharma, Swati; Maiti, Dilip K.; Alam, Md. Mahbub</t>
  </si>
  <si>
    <t>Pressure gradient and an upstream cylinder on nanofluid flow around a heated cylinder: Heat transfer and entropy analysis</t>
  </si>
  <si>
    <t>NUMERICAL HEAT TRANSFER PART A-APPLICATIONS</t>
  </si>
  <si>
    <t>[Sharma, Swati] Indira Gandhi Delhi Tech Univ Women, Dept Appl Sci &amp; Humanities, New Delhi, India; [Maiti, Dilip K.] Vidyasagar Univ, Dept Appl Math Oceanol &amp; Comp Programming, Midnapore 721102, WB, India; [Alam, Md. Mahbub] Harbin Inst Technol, Inst Turbulence Noise Vibrat Interact &amp; Control, Shenzhen Grad Sch, Shenzhen, Peoples R China</t>
  </si>
  <si>
    <t>Indira Gandhi Delhi Technical University for Women (IGDTUW); Vidyasagar University; Harbin Institute of Technology</t>
  </si>
  <si>
    <t>1040-7782</t>
  </si>
  <si>
    <t>1521-0634</t>
  </si>
  <si>
    <t>10.1080/10407782.2023.2280194</t>
  </si>
  <si>
    <t>Thermodynamics; Mechanics</t>
  </si>
  <si>
    <t>Mondal, B; Barman, K; Mazumder, BS</t>
  </si>
  <si>
    <t>Mondal, Buddhadeb; Barman, Krishnendu; Mazumder, Bijoy S.</t>
  </si>
  <si>
    <t>Multi-scale analysis for environmental dispersion in wetland flow under the effect of wind</t>
  </si>
  <si>
    <t>ECOHYDROLOGY</t>
  </si>
  <si>
    <t>[Mondal, Buddhadeb; Barman, Krishnendu] Vidyasagar Univ, Oceanol &amp; Comp Programming, Dept Appl Math, Midnapore 721102, India; [Mazumder, Bijoy S.] Indian Inst Technol, Dept Civil Engn, Mumbai, Maharashtra, India</t>
  </si>
  <si>
    <t>Vidyasagar University; Indian Institute of Technology System (IIT System); Indian Institute of Technology (IIT) - Bombay</t>
  </si>
  <si>
    <t>Barman, K (corresponding author), Vidyasagar Univ, Oceanol &amp; Comp Programming, Dept Appl Math, Midnapore 721102, India.</t>
  </si>
  <si>
    <t>1936-0584</t>
  </si>
  <si>
    <t>1936-0592</t>
  </si>
  <si>
    <t>10.1002/eco.2486</t>
  </si>
  <si>
    <t>Ecology; Environmental Sciences; Water Resources</t>
  </si>
  <si>
    <t>Environmental Sciences &amp; Ecology; Water Resources</t>
  </si>
  <si>
    <t>Type-2 zigzag uncertain multi-objective fixed-charge solid transportation problem: time window vs. preservation technology</t>
  </si>
  <si>
    <t>10.1007/s10100-022-00811-7</t>
  </si>
  <si>
    <t>Neighbourhood and competition graphs under fuzzy incidence graph and its application</t>
  </si>
  <si>
    <t>Fuzzy graph; Fuzzy competition graph; Fuzzy neighbourhood graph; Fuzzy incidence graph</t>
  </si>
  <si>
    <t>LINK PREDICTION; INDEX; CONNECTIVITY</t>
  </si>
  <si>
    <t>Competition graphs, which are mathematical representations of competitive relationships among entities, have found applications in various domains. This article introduces and explores several types of graphs, including fuzzy incidence competition graphs, fuzzy incidence neighborhood graphs, p-competition fuzzy incidence graphs, m-step fuzzy incidence competition graphs, and m-step fuzzy incidence neighborhood graphs. We establish sufficient conditions under which an edge is independent strong or independent incidence strong. Relation between competition graphs of isomorphic fuzzy incidence digraphs is established. Through rigorous analysis, several intriguing results concerning these graphs are derived. Additionally, at the end of the article, we evaluate a group of researchers using fuzzy incidence graphs to identify the most influential member within the group.</t>
  </si>
  <si>
    <t>[Islam, Sk Rabiul] Brainware Univ, Dept Math, 398 Ramkrishnapur Rd,Jagadighata Market, Kolkata 700125, West Bengal, India; [Islam, Sk Rabiul; Pal, Madhumangal] Vidyasagar Univ, Dept Appl Math, Midnapore 721102, West Bengal, India; [Pal, Madhumangal] Saveetha Inst Med &amp; Tech Sci, Saveetha Sch Engn, Dept Math &amp; Innovat, Chennai 602105, Tamilnadu, India</t>
  </si>
  <si>
    <t>Vidyasagar University; Saveetha Institute of Medical &amp; Technical Science; Saveetha School of Engineering</t>
  </si>
  <si>
    <t>Pal, M (corresponding author), Vidyasagar Univ, Dept Appl Math, Midnapore 721102, West Bengal, India.;Pal, M (corresponding author), Saveetha Inst Med &amp; Tech Sci, Saveetha Sch Engn, Dept Math &amp; Innovat, Chennai 602105, Tamilnadu, India.</t>
  </si>
  <si>
    <t>10.1007/s40314-024-02928-8</t>
  </si>
  <si>
    <t>Sau, S; Dey, A; Pal, P; Das, B; Maity, KK; Dash, SK; Tamili, DK; Das, B</t>
  </si>
  <si>
    <t>Sau, Somnath; Dey, Alo; Pal, Pritam; Das, Bishal; Maity, Kankan Kumar; Dash, Sandeep Kumar; Tamili, Dipak Kumar; Das, Balaram</t>
  </si>
  <si>
    <t>Immunomodulatory and immune-toxicological role of nanoparticles: Potential therapeutic applications</t>
  </si>
  <si>
    <t>Immunotherapy; Nanoparticles; Immune -toxicity; Immunomodulation; Immunosuppression; Immunostimulation</t>
  </si>
  <si>
    <t>IRON-OXIDE NANOPARTICLES; NF-KAPPA-B; WALLED CARBON NANOTUBES; IMMUNOGENIC CELL-DEATH; GOLD NANOPARTICLES; CANCER-IMMUNOTHERAPY; SILICA NANOPARTICLES; QUANTUM DOTS; OXIDATIVE STRESS; SURFACE-CHARGE</t>
  </si>
  <si>
    <t>Nowadays, Nanoparticle-based immunotherapeutic research has invoked global interest due to their unique properties. The immune system is a shielding structure that defends living things from external threats. Before the use of any materials in drug design, it is essential to study the immunological response to avoid triggering undesirable immune responses in the body. This review tries to summarize the properties, various applications, and immunotherapeutic aspects of NP -induced immunomodulation relating to therapeutic development and toxicity in human health. The role of NPs in the immune system and their modulatory functions, resulting in immunosuppression or immunostimulation, exerts benefits or dangers depending on their compositions, sizes, surface chemistry, and so forth. After NPs enter into the body, they can interact with body fluid exposing, them to different body proteins to form protein corona particles and other bio-molecules (DNA, RNA, sugars, etc.), which may alter their bioactivity. Phagocytes are the first immune cells that can interact with foreign materials including nanoparticles. Immunostimulation and immunosuppression operate in two distinct manners. Overall, functionalized nanocarriers optimized various therapeutic implications by stimulating the host immune system and regulating the tranquility of the host immune system. Among others, toxicity and bio-clearance of nanomaterials are always prime concerns at the preclinical and clinical stages before final approval. The interaction of nanoparticles with immune cells causes direct cell damage via apoptosis and necroses as well as immune signaling pathways also become influenced.</t>
  </si>
  <si>
    <t>[Sau, Somnath; Dey, Alo; Pal, Pritam; Das, Bishal; Das, Balaram] Vidyasagar Univ, Belda Coll, Dept Physiol, Nat Sci Res Ctr, Paschim Medinipur 721424, West Bengal, India; [Sau, Somnath] Vidyasagar Univ, Egra SSB Coll Res Ctr, Dept Nutr &amp; Coastal Environm Studies, Purba Medinipur 721429, West Bengal, India; [Maity, Kankan Kumar] Vidyasagar Univ, Belda Coll, Dept Chem, Nat Sci Res Ctr, Paschim Medinipur 721424, West Bengal, India; [Dash, Sandeep Kumar] Univ Gour Banga, Dept Physiol, Malda 732103, West Bengal, India; [Tamili, Dipak Kumar] Vidyasagar Univ, Egra SSB Coll Res Ctr, Dept Zool &amp;, Purba Medinipur 721429, West Bengal, India; [Das, Bishal] Debra Thana Sahid Kshudiram Smriti Mahavidyalaya, Dept Physiol, Paschim Medinipur 721124, West Bengal, India</t>
  </si>
  <si>
    <t>Vidyasagar University; Vidyasagar University; Vidyasagar University; University of Gour Banga; Vidyasagar University</t>
  </si>
  <si>
    <t>Das, B (corresponding author), Vidyasagar Univ, Belda Coll, Dept Physiol, Nat Sci Res Ctr, Paschim Medinipur 721424, West Bengal, India.</t>
  </si>
  <si>
    <t>10.1016/j.intimp.2024.112251</t>
  </si>
  <si>
    <t>Ghosh, P; Chakraborty, J</t>
  </si>
  <si>
    <t>Ghosh, Prithwi; Chakraborty, Joydeep</t>
  </si>
  <si>
    <t>Exploring the role of symbiotic modifier peptidases in the legume - rhizobium symbiosis</t>
  </si>
  <si>
    <t>Legumes; Symbiosis; Nitrogen fixation; Peptides; Peptidases; Sinorhizobium meliloti; Medicago truncatula; Nodule-specific cysteine-rich peptide</t>
  </si>
  <si>
    <t>MEDICAGO-TRUNCATULA; BACTEROID DIFFERENTIATION; NITROGEN-FIXATION; CELL-CYCLE; NCR GENES; PLANT; INSIGHTS; HOMOLOG; NODULES; FAMILY</t>
  </si>
  <si>
    <t>Legumes can establish a mutual association with soil-derived nitrogen-fixing bacteria called 'rhizobia' forming lateral root organs called root nodules. Rhizobia inside the root nodules get transformed into 'bacteroids' that can fix atmospheric nitrogen to ammonia for host plants in return for nutrients and shelter. A substantial 200 million tons of nitrogen is fixed annually through biological nitrogen fixation. Consequently, the symbiotic mechanism of nitrogen fixation is utilized worldwide for sustainable agriculture and plays a crucial role in the Earth's ecosystem. The development of effective nitrogen-fixing symbiosis between legumes and rhizobia is very specialized and requires coordinated signaling. A plethora of plant-derived nodule-specific cysteine-rich (NCR or NCR-like) peptides get actively involved in this complex and tightly regulated signaling process of symbiosis between some legumes of the IRLC (Inverted Repeat-Lacking Clade) and Dalbergioid clades and nitrogen-fixing rhizobia. Recent progress has been made in identifying two such peptidases that actively prevent bacterial differentiation, leading to symbiotic incompatibility. In this review, we outlined the functions of NCRs and two nitrogen-fixing blocking peptidases: HrrP (host range restriction peptidase) and SapA (symbiosis-associated peptidase A). SapA was identified through an overexpression screen from the Sinorhizobium meliloti 1021 core genome, whereas HrrP is inherited extra-chromosomally. Interestingly, both peptidases affect the symbiotic outcome by degrading the NCR peptides generated from the host plants. These NCR-degrading peptidases can shed light on symbiotic incompatibility, helping to elucidate the reasons behind the inefficiency of nitrogen fixation observed in certain groups of rhizobia with specific legumes.</t>
  </si>
  <si>
    <t>[Ghosh, Prithwi] Vidyasagar Univ, Narajole Raj Coll, Dept Bot, Midnapore 721211, India; [Chakraborty, Joydeep] Tel Aviv Univ, Sch Plant Sci &amp; Food Secur, Tel Aviv, Israel</t>
  </si>
  <si>
    <t>Vidyasagar University; Tel Aviv University</t>
  </si>
  <si>
    <t>Ghosh, P (corresponding author), Vidyasagar Univ, Narajole Raj Coll, Dept Bot, Midnapore 721211, India.</t>
  </si>
  <si>
    <t>10.1007/s00203-024-03920-w</t>
  </si>
  <si>
    <t>Environmental dispersion in wetland flow with wind effects under boundary absorptions</t>
  </si>
  <si>
    <t>Wetland; environmental dispersion; contaminant transport; wind; boundary absorption</t>
  </si>
  <si>
    <t>OPEN-CHANNEL FLOW; SOLUTE-DISPERSION; 3-LAYER WETLAND; CONTAMINANT TRANSPORT; ECOSYSTEM SERVICES; FLUID-FLOW; INDICATORS; TUBE; WALL</t>
  </si>
  <si>
    <t>Wetlands are characterized by flow and environmental dispersion, which are necessary in the water management system. Contaminant transport in wetlands has a significant effect in the field of biology and environmental fluid dynamics for the conservation of fish and wildlife species, erosion prevention, and mainly recreation. When an instantaneous contaminant is released into a wetland, both boundary absorptions and wind have a significant impact on the contaminant dispersion process. The present study highlights the wind effects and boundary absorption on environmental dispersion and stream-wise mean concentration in a width-dominated flow for a shallow wetland. A multi-scale time period is considered to determine the dispersion model, which illustrates the contaminant transport process greatly affected by different ecological parameters like dispersion time, boundary absorption, tortuosity and vegetation drag. It is noted that the stream-wise concentration distribution is almost identical to the transversal concentration distribution due to tortuosity and bottom vegetation effect. It is noticed that the stream-wise concentration of contaminant gradually decreases due to the increase of vegetation parameters and tortuosity. The distribution of flow velocity is derived analytically from the momentum equation for different wind strengths. The effect of boundary absorption strength on stream-wise and mean concentration are discussed. Also, it is evident that the distribution of concentration is complex for boundary absorption under the effects of wind.</t>
  </si>
  <si>
    <t>[Mondal, Buddhadeb; Barman, Krishnendu] Vidyasagar Univ, Dept Appl Math Oceanol &amp; Comp Programming, Midnapore 721 102, India; [Mazumder, Bijoy S.] Indian Inst Technol, Dept Civil Engn, Mumbai 400 076, Maharashtra, India</t>
  </si>
  <si>
    <t>Barman, K (corresponding author), Vidyasagar Univ, Dept Appl Math Oceanol &amp; Comp Programming, Midnapore 721 102, India.</t>
  </si>
  <si>
    <t>10.1007/s12040-024-02332-0</t>
  </si>
  <si>
    <t>Dan, K; Satpati, B; Datta, A</t>
  </si>
  <si>
    <t>Dan, Kaustabh; Satpati, B.; Datta, A.</t>
  </si>
  <si>
    <t>Macroscopic and microscopic insights regarding organization of nematic liquid crystalline phase assisted by in situ grown gold nanoparticles</t>
  </si>
  <si>
    <t>AIP ADVANCES</t>
  </si>
  <si>
    <t>In this present article, we report the organization of the room temperature nematic liquid crystalline (NLC) phase of MBBA [N-(4-methoxybenzylidene)-4-butylaniline] in the presence of gold nanoparticles (AuNPs), which are synthesized in situ within the MBBA matrix without using any separate reducing, stabilizing, or capping unit. The imine nitrogen (C=N) of MBBA is capable of donating its non-bonding electrons and, therefore, we explore the possibility that this could reduce the Au precursor (HAuCl4, 3H(2)O) to generate AuNPs within the MBBA matrix and form a stable MBBA-AuNP composite. The role duality of MBBA is evident in our synthesis process, acting as an active site to reduce Au precursor to generate AuNPs as well as to provide support to synthesized AuNPs as a soft template so that synthesis and assembly can happen concomitantly. The AuNPs formed in this process comprise mostly faceted spherical particles at higher concentrations of precursor, as evident from TEM and SEM investigations, and the size of the AuNPs was observed to be increasing with precursor concentration. The most important aspect that has emerged from our study is the organization of the NLC phase during AuNP production, which is clearly manifested through the evolution of ordered textures, significant enhancements in the isotropization temperature, associated enthalpies, and perceptible modifications in the optical properties of NLC. All these collective phenomena are indicative of AuNP assisted phase ordering in MBBA. The observed macroscopic phase ordering is well corroborated with our findings from microscopic investigations, which provide deep molecular insight regarding such phenomena. (c) 2024 Author(s). All article content, except where otherwise noted, is licensed under a Creative Commons Attribution-NonCommercial 4.0International (CC BY-NC) license (https://creativecommons.org/licenses/by-nc/4.0/).</t>
  </si>
  <si>
    <t>[Dan, Kaustabh] Vidyasagar Univ, Govt Gen Degree Coll Gopiballavpur 2, Jhargram 721517, W Bengal, India; [Satpati, B.] Saha Inst Nucl Phys, Surface Phys &amp; Mat Sci Div, 1-AF Bidhannagar, Kolkata 700064, W Bengal, India; [Datta, A.] Univ Calcutta, Dept Phys, 92 Acharya Prafulla Chandra Ray Rd, Kolkata 700009, W Bengal, India</t>
  </si>
  <si>
    <t>Vidyasagar University; Saha Institute of Nuclear Physics; University of Calcutta</t>
  </si>
  <si>
    <t>Dan, K (corresponding author), Vidyasagar Univ, Govt Gen Degree Coll Gopiballavpur 2, Jhargram 721517, W Bengal, India.</t>
  </si>
  <si>
    <t>AIP Publishing</t>
  </si>
  <si>
    <t>MELVILLE</t>
  </si>
  <si>
    <t>1305 WALT WHITMAN RD, STE 300, MELVILLE, NY 11747-4501 USA</t>
  </si>
  <si>
    <t>2158-3226</t>
  </si>
  <si>
    <t>10.1063/5.0204668</t>
  </si>
  <si>
    <t>Nanoscience &amp; Nanotechnology; Materials Science, Multidisciplinary; Physics, Applied</t>
  </si>
  <si>
    <t>Science &amp; Technology - Other Topics; Materials Science; Physics</t>
  </si>
  <si>
    <t>Maity, Gurupada; Yu, Vincent F.; Roy, Sankar Kumar</t>
  </si>
  <si>
    <t>Optimum Intervention in Transportation Networks Using Multimodal System under Fuzzy Stochastic Environment</t>
  </si>
  <si>
    <t>JOURNAL OF ADVANCED TRANSPORTATION</t>
  </si>
  <si>
    <t>[Maity, Gurupada; Roy, Sankar Kumar] Vidyasagar Univ, Dept Appl Math, Oceanol &amp; Comp Programming, Midnapore 721102, W Bengal, India; [Yu, Vincent F.] Natl Taiwan Univ Sci &amp; Technol, Dept Ind Management, 43,Sect 4,Keelung Rd, Taipei 106335, Taiwan; [Yu, Vincent F.] Natl Taiwan Univ Sci &amp; Technol, Ctr Cyber Phys Syst Innovat, 43,Sect 4,Keelung Rd, Taipei 106335, Taiwan</t>
  </si>
  <si>
    <t>Vidyasagar University; National Taiwan University of Science &amp; Technology; National Taiwan University of Science &amp; Technology</t>
  </si>
  <si>
    <t>Roy, SK (corresponding author), Vidyasagar Univ, Dept Appl Math, Oceanol &amp; Comp Programming, Midnapore 721102, W Bengal, India.</t>
  </si>
  <si>
    <t>WILEY-HINDAWI</t>
  </si>
  <si>
    <t>ADAM HOUSE, 3RD FL, 1 FITZROY SQ, LONDON, WIT 5HE, ENGLAND</t>
  </si>
  <si>
    <t>0197-6729</t>
  </si>
  <si>
    <t>2042-3195</t>
  </si>
  <si>
    <t>10.1155/2022/3997396</t>
  </si>
  <si>
    <t>Engineering, Civil; Transportation Science &amp; Technology</t>
  </si>
  <si>
    <t>Engineering; Transportation</t>
  </si>
  <si>
    <t>Hasanuzzaman, M; Adhikary, PP; Shit, PK</t>
  </si>
  <si>
    <t>Hasanuzzaman, Md; Adhikary, Partha Pratim; Shit, Pravat Kumar</t>
  </si>
  <si>
    <t>Gully erosion susceptibility mapping and prioritization of gully-dominant sub-watersheds using machine learning algorithms: Evidence from the Silabati River (tropical river, India)</t>
  </si>
  <si>
    <t>Gully erosion; Random Forest (RF); Extreme Gradient Boost (XGBoost); Silabati River; Sub-watershed; India</t>
  </si>
  <si>
    <t>RANDOM FOREST; SPATIAL PREDICTION; REGRESSION; MODELS; HAZARD; BASIN; TREE</t>
  </si>
  <si>
    <t>Gully erosion is a severe environmental issue that poses threats to agriculture, human safety, habitats, infrastructure, and soil integrity. Selecting the right machine learning model is vital for accurate Gully Erosion Susceptibility Mapping (GESM) due to varying environmental hazard performance. This study employed a comparative analysis of two machine learning techniques, Random Forest (RF) and Extreme Gradient Boost (XGBoost), to develop a highly precise GESM for the Silabati watershed (India). The analysis incorporated 24 controlling factors and examined a dataset of 460 sample points, with equal representation of gullies and non-gullies. Variance Inflation Factors (VIF) and Information Gain Ratio (IGR) techniques were applied to assess multicollinearity test among the controlling factors. Lithology, elevation, distance from the road, LULC, geomorphology, rainfall, drainage density, and coarse fragments emerged as crucial factors in determining GESM. Statistical tests, including the Kappa index, Root Mean Square Error (RMSE), Accuracy (ACC), Mean Absolute Error (MAE), Coefficient of Determination (R2), and Receiver Operating Characteristic (ROC), were employed to evaluate the RF and XGB models on training and testing data. Both models demonstrated strong performance, with the XGBoost and RF models achieving ROC values of 84.1% and 83.2%, respectively. The applied quantile classification method resulted in the creation of five distinct GESMs, categorized as very high (VH), high (H), moderate (M), low (L), and very low (VL). We found that the very high GESM areas of the watershed were 4.10% in the XGBoost model and 4.61%. in the RF model. Out of the 26 sub-watersheds, the results have identified five sub-watersheds as highly prioritized for sustainable management. Therefore, the present study provides an accurate gully erosion identification using advanced models, offering valuable insights for policymakers to proper management implementation. (c) 2023 COSPAR. Published by Elsevier B.V. All rights reserved.</t>
  </si>
  <si>
    <t>[Hasanuzzaman, Md; Shit, Pravat Kumar] Raja NL Khan Womens Coll Autonomous, PG Dept Geog, Gope Palace, Midnapore 721102, West Bengal, India; [Hasanuzzaman, Md] Vidyasagar Univ, Raja NL Khan Womens Coll Autonomous, Res Ctr Nat &amp; Appl Sci, Midnapore 721102, West Bengal, India; [Adhikary, Partha Pratim] ICAR Indian Inst Water Management, Bhubaneswar 751023, Odisha, India</t>
  </si>
  <si>
    <t>Vidyasagar University; Indian Council of Agricultural Research (ICAR); ICAR - Indian Institute of Water Management</t>
  </si>
  <si>
    <t>Shit, PK (corresponding author), Raja NL Khan Womens Coll Autonomous, PG Dept Geog, Gope Palace, Midnapore 721102, West Bengal, India.</t>
  </si>
  <si>
    <t>10.1016/j.asr.2023.10.051</t>
  </si>
  <si>
    <t>Das, S; Banu, AS; Sarkar, S; Ali, A; Jana, RN</t>
  </si>
  <si>
    <t>Das, Sanatan; Banu, Ayesha Siddika; Sarkar, Soumitra; Ali, Asgar; Jana, Rabindra Nath</t>
  </si>
  <si>
    <t>Intricate dynamics of rotational buoyancy, magnetic field, Hall current, and infrared radiation in a Casson fluid medium</t>
  </si>
  <si>
    <t>ION SLIP IMPACTS; VERTICAL PLATE; CHEMICAL-REACTION; POROUS PLATE; THERMAL-RADIATION; CONVECTION FLOW</t>
  </si>
  <si>
    <t>Rotational buoyancy assumes a substantial role in a multitude of natural and engineering systems, with particular emphasis on astrophysical and geophysical scenarios. The primary objective of this study is to delve into the intricate dynamics of a rotational flow subjected to forces from rotational buoyancy, magnetic field, Hall effects, and infrared radiation in a Casson fluid medium adjacent to a thermal plate. The LT technique is harnessed to yield the closed-form solutions for the dimensionless governing flow system. Through graphical analyzes, the physical implications of key contextual parameters are elucidated. Our findings demonstrate that Hall currents and rotational buoyancy forces jointly act to restrict primary fluid motion while amplifying secondary motion. An upswing in the Casson parameter leads to a marked reduction in the magnitude of the velocity components. Furthermore, intensified infrared radiation results in a more flattened thermal distribution. The primary directional shear stress attenuates, while an inverse bias is observed for the shear stress along the secondary direction, particularly with higher values of the Hall and rotation parameters. The insights gained from this study have practical implications for the design and operation of various systems involving rotational components, such as rotary machinery, automotive systems, and industrial automation, and contribute to weather forecasting and climate modelling.</t>
  </si>
  <si>
    <t>[Das, Sanatan; Banu, Ayesha Siddika] Univ Gour Banga, Dept Math, Malda, India; [Sarkar, Soumitra] Triveni Devi Bhalotia Coll, Dept Math, Raniganj, India; [Ali, Asgar] Dept Math, Bajkul Milani Mahavidyalaya, Purba Medinipur, India; [Jana, Rabindra Nath] Vidyasagar Univ, Dept Appl Math, Midnapore, India; [Das, Sanatan] Univ Gour Banga, Dept Math, Malda 732103, India</t>
  </si>
  <si>
    <t>10.1002/zamm.202300657</t>
  </si>
  <si>
    <t>Thermal magneto-convection of GO-MoS2/WEG within a heated channel retaining an aura of inclined magnetic force along with Hall currents</t>
  </si>
  <si>
    <t>[Das, Sanatan] Univ Gour Banga, Dept Math, Malda 732103, India; [Mahato, Naspa] Barrackpore Rastraguru Surendranath Coll, Dept Math, Kolkata, India; [Ali, Asgar] Bajkul Milani Mahavidyalaya, Dept Math, Purba Medinipur, India; [Jana, Rabindra Nath] Vidyasagar Univ, Dept Appl Math, Midnapore, India</t>
  </si>
  <si>
    <t>10.1002/htj.22545</t>
  </si>
  <si>
    <t>Mishra, P; Das, P; Ghosh, SK; Dandapat, A; Dasgupta, S</t>
  </si>
  <si>
    <t>Mishra, Pulak; Das, Pinaki; Ghosh, Soumya Kanti; Dandapat, Akash; Dasgupta, Soumita</t>
  </si>
  <si>
    <t>Agriculture-livestock-forestry nexus and household income diversification: Experiences from selected villages of West Bengal, India</t>
  </si>
  <si>
    <t>Agriculture-livestock-forestry nexus; Income diversification; Poverty; Rural livelihoods; Reverse migration; Resource utilization; Sustainable development</t>
  </si>
  <si>
    <t>GEOGRAPHIC INFORMATION-SYSTEM; CLIMATE; MIGRATION; FARMERS; POVERTY; ZONE; SOIL</t>
  </si>
  <si>
    <t>CONTEXT: The COVID-19 pandemic has posed unprecedented challenges to the livelihoods of rural households, especially in developing countries. The reverse migrated workers faced the most economic crisis. They have created additional pressure on local resources and opportunities to maintain their livelihood. In this connection the agriculture-livestock-forestry nexus plays a significant role by providing them livelihood opportunities. OBJECTIVES: This paper attempts to understand the resource use patterns during the post-COVID period, and analyse the impact of agriculture-livestock-forest nexus on household income diversification and poverty reduction. METHODS: The present study uses a novel approach to fulfil the objectives of the study. A well-designed survey was conducted to collect the necessary primary data from sixteen sample villages of West Bengal, India. The scientific design of the survey and data collection procedure is maintained. Moreover, geospatial techniques are used to examine the land use and land cover patterns of the study areas. The econometric models are estimated to inspect the role of agriculture-livestock-forest nexus and household characteristics on household level income diversification and the reduction of poverty. RESULTS AND CONCLUSIONS: Our analysis reveals that a significant number of the sample households depend on agriculture, livestock and forestry to maintain their livelihoods. The reverse migration of workforce has created additional pressure on these activities. This is mainly due to non -availability of other non -farm employment opportunities locally. The analysis of econometric models shows that while engagement in different activities of the primary sector makes income diversified, it is more so when the households possess necessary technologies, skills and financial supports. All of these are crucial given that income diversification helps households to overcome of poverty. SIGNIFICANCE: The intricate web of the agriculture -livestock -forestry nexus serves as a critical source of livelihood for a substantial number of households, yet the challenges and opportunities it presents necessitate targeted policy interventions. Enabling technology transfer, fostering skill development, and extending financial support emerge as key measures to diversify rural livelihoods, thereby fostering sustainable rural development and poverty reduction in the post -pandemic landscape. The integration of socioeconomic data and geospatial satellite information offers an invaluable basis for formulating effective policy strategies in this evolving era.</t>
  </si>
  <si>
    <t>[Mishra, Pulak] Indian Inst Technol Kharagpur, Dept Humanities &amp; Social Sci, Kharagpur, West Bengal, India; [Das, Pinaki; Dandapat, Akash; Dasgupta, Soumita] Vidyasagar Univ, Dept Econ, Medinipur, West Bengal, India; [Ghosh, Soumya Kanti] Indian Inst Technol Kharagpur, Dept Comp Sci &amp; Engn, Kharagpur, W Bengal, India</t>
  </si>
  <si>
    <t>Indian Institute of Technology System (IIT System); Indian Institute of Technology (IIT) - Kharagpur; Vidyasagar University; Indian Institute of Technology System (IIT System); Indian Institute of Technology (IIT) - Kharagpur</t>
  </si>
  <si>
    <t>Das, P (corresponding author), Vidyasagar Univ, Dept Econ, Medinipur, West Bengal, India.</t>
  </si>
  <si>
    <t>10.1016/j.agsy.2024.103918</t>
  </si>
  <si>
    <t>Palanikumar, M.; Arulmozhi, K.; Jana, Chiranjibe; Pal, Madhumangal</t>
  </si>
  <si>
    <t>Multiple attribute decision-making Pythagorean vague normal operators and their applications for the medical robots process on surgical system</t>
  </si>
  <si>
    <t>[Palanikumar, M.] Saveetha Inst Med &amp; Tech Sci, Saveetha Sch Engn, Dept Math, Chennai 602105, India; [Arulmozhi, K.] Bharath Inst Higher Educ &amp; Res, Dept Math, Chennai 600073, India; [Jana, Chiranjibe; Pal, Madhumangal] Vidyasagar Univ, Dept Appl Math Oceanol &amp; Comp Programming, Midnapore 721102, India</t>
  </si>
  <si>
    <t>Saveetha Institute of Medical &amp; Technical Science; Saveetha School of Engineering; Bharath Institute of Higher Education &amp; Research; Vidyasagar University</t>
  </si>
  <si>
    <t>10.1007/s40314-023-02422-7</t>
  </si>
  <si>
    <t>Dolai, M; Panja, S; Mondal, SK</t>
  </si>
  <si>
    <t>Dolai, Madhusudan; Panja, Subrata; Mondal, Shyamal Kumar</t>
  </si>
  <si>
    <t>Product refurbishment in an imperfect production inventory system under carbon regulations: An interval type-2 fuzzy environment</t>
  </si>
  <si>
    <t>Inventory system; Imperfect products; Screening; Refurbishing; Carbon emission; Interval type-2 fuzzy set</t>
  </si>
  <si>
    <t>GREEN SUPPLY CHAIN; MODEL; DECISION; DEMAND; COORDINATION; QUALITY; QUANTITY; EMISSION; POLICIES; ITEM</t>
  </si>
  <si>
    <t>This study develops an imperfect production inventory model focusing on the proper handling of imperfect products and addressing carbon emissions in different stages of a production process. The proposed inventory system consists of three stages: production, screening, and refurbishing. The produced products undergo a screening process, with perfect quality items being delivered to the primary market, while imperfect quality products are routed through a refurbishing process, subsequently sold in the secondary market. It is observed that in the existing literature on refurbished products, all such types of products have been sold at the end of the business period, this means that there is no continuous demand of refurbished product at the remaining time points of the business period which does not support the practical situation in a real business system. In this regards, our main objective in this study is consideration of continuous demand of refurbished products along with perfect ones. Again, we incorporate interval type-2 fuzzy uncertainty in both markets' demand to better reflect market fluctuations introducing a new defuzzification method. In this framework, we evaluate the effectiveness of two emission regulatory strategies: carbon tax and carbon cap and trade policies. The findings of this study offer valuable insights into various aspects. Notably, our analysis reveals that if the difference between the primary and secondary markets' demands reduces to a large extent, a negative impact on the profit is observed. It is also shown that an increase in demand for refurbished products allows for a higher permissible rate of imperfections in production. Comparing the outcomes under two emission regulations, we find that the cap and trade policy is beneficial from both economic and environmental perspectives. Additionally, it becomes evident that the manufacturer should carefully consider the duration of each inventory stage, as it leads to a significant increase in overall emissions. Regarding the uncertain nature of the market, it is observed that demand volatility in the secondary market negatively affects the profit.</t>
  </si>
  <si>
    <t>[Dolai, Madhusudan; Mondal, Shyamal Kumar] Vidyasagar Univ, Dept Appl Math, Midnapore 721102, West Bengal, India; [Panja, Subrata] Haldia Inst Technol, Dept Appl Sci &amp; Humanities, Haldia 721657, West Bengal, India; [Panja, Subrata] Tech Univ Darmstadt, Inst Prod &amp; Supply Chain Management, Dept Law &amp; Econ, Hsch Str 1, D-64289 Darmstadt, Germany</t>
  </si>
  <si>
    <t>Vidyasagar University; Haldia Institute of Technology; Technical University of Darmstadt</t>
  </si>
  <si>
    <t>10.1016/j.engappai.2024.109149</t>
  </si>
  <si>
    <t>Pervin, M; Paul, A; Roy, SK; Lesmono, D; Sakalauskas, L</t>
  </si>
  <si>
    <t>Pervin, Magfura; Paul, Asim; Roy, Sankar Kumar; Lesmono, Dharma; Sakalauskas, Leonidas</t>
  </si>
  <si>
    <t>An integrated vendor-buyer model with sustainability and remanufacturing of returned product</t>
  </si>
  <si>
    <t>Integrated vendor-buyer model; sustainability-sensitive demand; remanufacturing; carbon emission; green technology; product return</t>
  </si>
  <si>
    <t>LOOP SUPPLY CHAIN; INVENTORY MODEL; SYSTEMS; COORDINATION; STRATEGY; PRICE</t>
  </si>
  <si>
    <t>With passing time, carbon emission reduction has been a paramount job for human kind. Achieving a delicate balance between carbon emission reduction and the combustion of fossil fuels is essential. This balance is vital as carbon emissions are inevitable during the burning of fossil fuels, which is necessary for industrialization. This study presents an inventory model with green technology where production of new items and remanufacturing of returned items are allowed. Remembering the present global situation, the ordering cost is assumed as variable cost which contains order cancellation and reorder cost. Online order policy is considered with quality of product and a return rate. Keeping in mind the social, economic and environmental aspects, the demand function is considered as sustainability sensitive demand. Remanufacturing is performed for non-serviceable items i.e., defective items which are produced from imperfect production and used items that are purchased from the market. But the products for which remanufacturing cost is more than manufacturing cost are scraped off. In the production process carbon releases from setting up, manufacturing and holding of the perfect items. A nonlinear model is designed based on the above concepts. The model is solved both theoretically and analytically. The main motives of the work are to find the effects of ordering cost, carbon emission cost and green technology investment on the inventory model for suggesting the best policy to the inventory manager. Sensitivity analysis is performed to validate the model. The numerical results prove that ignoring ordering cost, carbon emission cost and green technology investment can lead to a false optimal solution, and this can be a huge economical loss for the inventory manager. The results also prove that a sustainable model with carbon emission and green technology investment is more realistic and profitable in compare with the other existing models. The results show that manufacturer wishes to engage in remanufacturing as remanufacturing cost continuously increases with respect time. Another important finding is that the manufacturer can choose remanufacturing as the cost is lower than manufacturing for saving environment.</t>
  </si>
  <si>
    <t>[Pervin, Magfura] Bangabasi Evening Coll, Dept Math, 19 Rajkumar Chakraborty Sarani, Kolkata 700009, India; [Paul, Asim; Roy, Sankar Kumar] Vidyasagar Univ, Dept Appl Math, Midnapore 721102, West Bengal, India; [Lesmono, Dharma] Univ Katolik Parahyangan, Ctr Math &amp; Soc, Dept Math, Bandung 40141, West Java, Indonesia; [Sakalauskas, Leonidas] Vytautas Magnus Univ, Dept Appl Informat, Vuleikos St 8-409, LT-44404 Kaunas, Lithuania</t>
  </si>
  <si>
    <t>Vidyasagar University; Universitas Katolik Parahyangan; Vytautas Magnus University</t>
  </si>
  <si>
    <t>10.1051/ro/2024104</t>
  </si>
  <si>
    <t>Karim, Md. Reazul; Al Mamun, Abu Sayed Md.; Hossain, Md. Ripter; Islam, Md. Nurul; Rana, Md. Masud; Wadood, Md. Abdul; Bose, Kaushik; Bharati, Premananda; Hossain, Md. Golam</t>
  </si>
  <si>
    <t>Nutritional status of tribal and non-tribal adults in rural Bangladesh: A comparative study</t>
  </si>
  <si>
    <t>[Karim, Md. Reazul; Al Mamun, Abu Sayed Md.; Hossain, Md. Ripter; Islam, Md. Nurul; Rana, Md. Masud; Wadood, Md. Abdul; Hossain, Md. Golam] Univ Rajshahi, Dept Stat, Hlth Res Grp, Rajshahi, Bangladesh; [Bose, Kaushik] Vidyasagar Univ, Dept Anthropol, Midnapore, West Bengal, India; [Bharati, Premananda] Indian Stat Inst, Biol Anthropol, Kolkata, West Bengal, India</t>
  </si>
  <si>
    <t>University of Rajshahi; Vidyasagar University; Indian Statistical Institute; Indian Statistical Institute Kolkata</t>
  </si>
  <si>
    <t>Hossain, MG (corresponding author), Univ Rajshahi, Dept Stat, Hlth Res Grp, Rajshahi, Bangladesh.</t>
  </si>
  <si>
    <t>10.1371/journal.pone.0287625</t>
  </si>
  <si>
    <t>Bhunia, Supriya; Ghorai, Ganesh; Xin, Qin; Gulzar, Muhammad</t>
  </si>
  <si>
    <t>On the Algebraic Attributes of (α, β)-Pythagorean Fuzzy Subrings and (α, β)-Pythagorean Fuzzy Ideals of Rings</t>
  </si>
  <si>
    <t>[Bhunia, Supriya; Ghorai, Ganesh] Vidyasagar Univ, Dept Appl Math Oceanol &amp; Comp Programming, Midnapore 721102, India; [Xin, Qin] Univ Faroe Isl, Fac Sci &amp; Technol, FR-100 Torshavn, Faroe Islands; [Gulzar, Muhammad] Govt Coll Univ Faisalabad, Dept Math, Faisalabad 38000, Pakistan</t>
  </si>
  <si>
    <t>Vidyasagar University; Government College University Faisalabad</t>
  </si>
  <si>
    <t>Gulzar, M (corresponding author), Govt Coll Univ Faisalabad, Dept Math, Faisalabad 38000, Pakistan.</t>
  </si>
  <si>
    <t>10.1109/ACCESS.2022.3145376</t>
  </si>
  <si>
    <t>Ghosh, S; Sahu, TN; Mallik, G</t>
  </si>
  <si>
    <t>Ghosh, Shantanu; Sahu, Tarak Nath; Mallik, Girijasankar</t>
  </si>
  <si>
    <t>Does financial inclusion stimulate India's economy: A panel data analysis</t>
  </si>
  <si>
    <t>JOURNAL OF PUBLIC AFFAIRS</t>
  </si>
  <si>
    <t>economic growth; financial inclusion; India; panel VECM</t>
  </si>
  <si>
    <t>The study empirically examines the connections between three different measures of financial inclusion with output growth across the states of India. Applying the panel co-integration and error correction model for 26 states and 4 union territories, it concludes that all three measures of financial development with gross fixed capital formation enhance real net state GDP significantly in the long run. Further, a significant reduction in the real net state GDP is also observed during the Global Financial Crisis. This study is important for the Indian policymakers to formulate effective financial inclusion policies leading to the overall development of the Indian economy.</t>
  </si>
  <si>
    <t>[Ghosh, Shantanu] Utkal Univ, PG Dept Commerce, Bhubaneswar, Odisha, India; [Sahu, Tarak Nath] Vidyasagar Univ, Dept Business Adm, Midnapore, West Bengal, India; [Mallik, Girijasankar] Western Sydney Univ, Sch Business, Penrith, NSW, Australia; [Sahu, Tarak Nath] Vidyasagar Univ, Dept Business Adm, Midnapore 721102, West Bengal, India</t>
  </si>
  <si>
    <t>Utkal University; Vidyasagar University; Western Sydney University; Vidyasagar University</t>
  </si>
  <si>
    <t>1472-3891</t>
  </si>
  <si>
    <t>1479-1854</t>
  </si>
  <si>
    <t>10.1002/pa.2891</t>
  </si>
  <si>
    <t>Radovanovic, Marko; Bozanic, Darko; Tesic, Dusko; Puska, Adis; Hezam, Ibrahim M.; Jana, Chiranjibe</t>
  </si>
  <si>
    <t>APPLICATION OF HYBRID DIBR-FUCOM-LMAW-BONFERRONI-GREY-EDAS MODEL IN MULTICRITERIA DECISION-MAKING</t>
  </si>
  <si>
    <t>FACTA UNIVERSITATIS-SERIES MECHANICAL ENGINEERING</t>
  </si>
  <si>
    <t>[Radovanovic, Marko; Bozanic, Darko; Tesic, Dusko] Univ Def Belgrade, Mil Acad, Belgrade, Serbia; [Puska, Adis] Govt Brcko Dist Bosnia &amp; Herzegovina, Dept Publ Safety, Brcko, Bosnia &amp; Herceg; [Hezam, Ibrahim M.] King Saud Univ, Coll Sci, Stat &amp; Operat Res Dept, Riyadh, Saudi Arabia; [Jana, Chiranjibe] Vidyasagar Univ, Dept Appl Math Oceanol &amp; Comp Programming, Midnapore, India; [Bozanic, Darko] Univ Def Belgrade, Mil Acad, Veljka Luk Kurjaka 33, Belgrade 11042, Serbia</t>
  </si>
  <si>
    <t>King Saud University; Vidyasagar University</t>
  </si>
  <si>
    <t>Bozanic, D (corresponding author), Univ Def Belgrade, Mil Acad, Veljka Luk Kurjaka 33, Belgrade 11042, Serbia.</t>
  </si>
  <si>
    <t>UNIV NIS</t>
  </si>
  <si>
    <t>UNIVERZITETSKI TRG 2, PO BOX 123, NIS, 18000, SERBIA</t>
  </si>
  <si>
    <t>0354-2025</t>
  </si>
  <si>
    <t>2335-0164</t>
  </si>
  <si>
    <t>10.22190/FUME230824036R</t>
  </si>
  <si>
    <t>Das, Manas; Dutta, Bikash; Roy, Utpal; Das, Sutapa; Rath, Sutapa</t>
  </si>
  <si>
    <t>Spatial accessibility modeling to healthcare facilities in the case of health shocks of Midnapore municipality, India</t>
  </si>
  <si>
    <t>[Das, Manas] Vidyasagar Univ, Dept Remote Sensing &amp; GIS, Midnapore 721102, West Bengal, India; [Dutta, Bikash] Nistarini Coll, Dept Geog, Purulia 723101, West Bengal, India; [Roy, Utpal] Univ Calcutta, Dept Geog, Kolkata 700073, West Bengal, India; [Das, Sutapa] Vidyasagar Univ, Dept Econ, Midnapore 721102, West Bengal, India; [Rath, Sutapa] Vidyasagar Univ, Dept Geog, Midnapore 721102, West Bengal, India</t>
  </si>
  <si>
    <t>Vidyasagar University; University of Calcutta; Vidyasagar University; Vidyasagar University</t>
  </si>
  <si>
    <t>Das, M (corresponding author), Vidyasagar Univ, Dept Remote Sensing &amp; GIS, Midnapore 721102, West Bengal, India.</t>
  </si>
  <si>
    <t>10.1007/s10708-023-10838-1</t>
  </si>
  <si>
    <t>Bar, B; Swain, R; Das, P; Sahoo, J; Das, DN</t>
  </si>
  <si>
    <t>Bar, Biswajit; Swain, Ratnakar; Das, Pulakesh; Sahoo, Jaykumar; Das, Dipendra Nath</t>
  </si>
  <si>
    <t>Spatial Analysis and Forecasting of Coastal Dynamics Using Optical and SAR Imageries: A Case Study of Contai Coastal Tract of Bay of Bengal</t>
  </si>
  <si>
    <t>DSAS; Synthetic aperture radar; Sentinel-1; Sentinel-2; Landsat; Shoreline change</t>
  </si>
  <si>
    <t>SEA-LEVEL RISE; WEST-BENGAL; GIS; PREDICTION; MANAGEMENT; PATTERNS; ISLAND; INDIA</t>
  </si>
  <si>
    <t>This study investigates the intricate dynamics of a 60-kilometer section of India's eastern coast, from the Raslupur River mouth to Udaypur Beach in West Bengal. This research thoroughly analyzes littoral changes using synthetic aperture radar (SAR) and optical remote sensing data. Herein, Multi-temporal Landsat series satellite data from 1975 to 2009, Sentinel-1 SAR data from 2019 and Sentinel-2 data from 2015 are used. The investigation yielded extraordinary insights into coastal change metrics, including an annual average rate of change of 1.08 m. Shoreline adjustments were quantified using metrics such as End Point Rate (EPR), Linear Regression (LR), Net Shoreline Movement (NSM), and Shoreline Change Envelope (SCE). Over the study area, the annual erosion rate varies from 0.62 m to 2.60 m, and Accretion rates range from 0.02 to 5.99 m. Using the Linear Regression Rate (LRR) model, this investigation predicted landward retreat and seaward advancement of the littoral. Shankarpur and Chandapur, in particular, were anticipated to experience landward migration of 36 m (2019 to 2029) and 67.49 m (2019 to 2039), respectively. Phichhaboni, Haripur, Junput, and Bankiput sea coastlines were predicted to experience 67 to 157 m of seaward accretion. Notably, the research highlights the various factors that influence coastal dynamics, such as sea-level rise, cyclones, sediment regime, deforestation, urbanization, and anthropogenic changes such as groundwater exploitation and artificial barriers. This study provides stakeholders, policymakers, and researchers interested in coastal regions' preservation and sustainable development with actionable insights. This manuscript is an exhaustive guide fostering informed decision-making and effective coastal stewardship.</t>
  </si>
  <si>
    <t>[Bar, Biswajit; Das, Dipendra Nath] Jawaharlal Nehru Univ, Ctr Study Reg Dev, New Delhi 110067, India; [Swain, Ratnakar] Natl Inst Technol NIT, Dept Civil Engn, Rourkela 769008, Odisha, India; [Das, Pulakesh] Vidyasagar Univ, Dept Remote &amp; GIS, Midnapore 721635, West Bengal, India; [Sahoo, Jaykumar] Vidyasagar Univ, Dept Geog, Midnapore 721102, India</t>
  </si>
  <si>
    <t>Jawaharlal Nehru University, New Delhi; National Institute of Technology (NIT System); National Institute of Technology Rourkela; Vidyasagar University; Vidyasagar University</t>
  </si>
  <si>
    <t>Swain, R (corresponding author), Natl Inst Technol NIT, Dept Civil Engn, Rourkela 769008, Odisha, India.</t>
  </si>
  <si>
    <t>10.1007/s12524-024-02047-1</t>
  </si>
  <si>
    <t>Bhakta, S; Nandi, U; Mondal, M; Mahapatra, KR; Chowdhuri, P; Pal, P</t>
  </si>
  <si>
    <t>Bhakta, Shubhankar; Nandi, Utpal; Mondal, Madhab; Mahapatra, Kuheli Ray; Chowdhuri, Partha; Pal, Pabitra</t>
  </si>
  <si>
    <t>sqFm: a novel adaptive optimization scheme for deep learning model</t>
  </si>
  <si>
    <t>EVOLUTIONARY INTELLIGENCE</t>
  </si>
  <si>
    <t>DiffGrad; Adam; AngularGrad; ResNet34; VGG16; ResNet18; DenseNet121; ResNet50; Neural network; Optimization; Deep learning</t>
  </si>
  <si>
    <t>For deep model training, an optimization technique is required that minimizes loss and maximizes accuracy. The development of an effective optimization method is one of the most important study areas. The diffGrad optimization method uses gradient changes during optimization phases but does not update 2nd order moments based on 1st order moments, and the AngularGrad optimization method uses the angular value of the gradient, which necessitates additional calculation. Due to these factors, both of those approaches result in zigzag trajectories that take a long time and require additional calculations to attain a global minimum. To overcome those limitations, a novel adaptive deep learning optimization method based on square of first momentum (sqFm) has been proposed. By adjusting 2nd order moments depending on 1st order moments and changing step size according to the present gradient on the non-negative function, the suggested sqFm delivers a smoother trajectory and better image classification accuracy. The empirical research comparing the performance of the proposed sqFm with Adam, diffGrad, and AngularGrad applying non-convex functions demonstrates that the suggested method delivers the best convergence and parameter values. In comparison to SGD, Adam, diffGrad, RAdam, and AngularGrad(tan) using the Rosenbrock function, the proposed sqFm method can attain the global minima gradually with less overshoot. Additionally, it is demonstrated that the proposed sqFm gives consistently good classification accuracy when training CNN networks (ResNet16, ResNet50, VGG34, ResNet18, and DenseNet121) on the CIFAR10, CIFAR100, and MNIST datasets, in contrast to SGDM, diffGrad, Adam, AngularGrad(Cos), and AngularGrad(Tan). The proposed method also gives the best classification accuracy than SGD, Adam, AdaBelief, Yogi, RAdam, and AngularGrad using the ImageNet dataset on the ResNet18 network. Source code link: https://github.com/UtpalNandi/sqFm-A-novel-adaptive-optimization-scheme-for-deep-learning-model.</t>
  </si>
  <si>
    <t>[Bhakta, Shubhankar; Nandi, Utpal; Chowdhuri, Partha] Vidyasagar Univ, Dept Comp Sci, Paschim Medinipur 721102, West Bengal, India; [Mondal, Madhab] Mahishadal Girls Coll, Dept Math, Purba Medinipur 721628, West Bengal, India; [Mahapatra, Kuheli Ray] Bajkul Milani Mahavidyalaya, Dept Comp Sci, Purba Medinipur 721655, West Bengal, India; [Pal, Pabitra] Maulana Abul Kalam Azad Univ Technol, Dept Comp Applicat, Haringhata 741249, West Bengal, India</t>
  </si>
  <si>
    <t>Vidyasagar University; Mahishadal Girls College; Maulana Abul Kalam Azad University of Technology</t>
  </si>
  <si>
    <t>1864-5909</t>
  </si>
  <si>
    <t>1864-5917</t>
  </si>
  <si>
    <t>EVOL INTELL</t>
  </si>
  <si>
    <t>Evol. Intell.</t>
  </si>
  <si>
    <t>10.1007/s12065-023-00897-1</t>
  </si>
  <si>
    <t>Bhakta, S; Nandi, U; Mahapatra, KR; Singh, MM; Noorwali, A</t>
  </si>
  <si>
    <t>Bhakta, Shubhankar; Nandi, Utpal; Mahapatra, Kuheli Ray; Singh, Moirangthem Marjit; Noorwali, Abdulfattah</t>
  </si>
  <si>
    <t>SWOSBC: A Novel Optimizer for Learning Convolutional Neural Network</t>
  </si>
  <si>
    <t>Adam; adaptive learning; classification accuracy; classification accuracy; deep learning; deep learning; diffGrad; diffGrad; neural networks; neural networks; optimization; optimization; optimization</t>
  </si>
  <si>
    <t>Deep Neural Networks (DNNs) that aim to maximize accuracy and decrease loss can be trained using optimization algorithms. One of the most significant fields of research is the creation of an efficient optimization technique. Most adaptive optimizers, including Adam and diffGrad, are unable to address noisy updating or zigzag behavior introduced in the optimization process. Moreover, the Adam technique over fits a model in certain situations, especially when the training dataset is small. This ultimately leads to poor generalization efficiency on test data. To get over this shortcoming, an optimization method using the square root of the exponentially weighted average and regulating the step size without applying the second bias correction in addition (SWOSBC) has been proposed that produces second-order moments using both the first and second decay rates instead of only the second decay rate and the second momentum instead of the second bias correction used as the denominator. Using an adaptive term that uses the exponentially weighted average, the suggested SWOSBC offers a smoother trajectory and greater picture Classification Accuracy (CA). The comprehensive tests using standard datasets (CIFAR10, CIFAR100, MNIST, and ImageNet) in comparison to cutting-edge techniques show that SWOSBC performs better. On the CIFAR10 and MNIST datasets for every one of the tested networks, as well as on the CIFAR-100 dataset for the majority of examined network models, the SWOSBC algorithm provides the most effective CA. Using the ImageNet dataset and the ResNet-18 network yields the best classification accuracy. By employing the Rosenbrock functions of convergence and linear regression, it can be observed how smoothly and quickly the SWOSBC reaches the global minima. Source code link: https://github.com/UtpalNandi/SWOSBC.</t>
  </si>
  <si>
    <t>[Bhakta, Shubhankar; Nandi, Utpal] Vidyasagar Univ, Dept Comp Sci, Midnapore 721102, West Bengal, India; [Mahapatra, Kuheli Ray] Bajkul Milani Mahavidyalaya, Dept Comp Sci, Bajkul 721655, West Bengal, India; [Singh, Moirangthem Marjit] North Eastern Reg Inst Sci &amp; Technol, Dept Comp Sci &amp; Engn, Nirjuli 791109, Arunachal Prade, India; [Noorwali, Abdulfattah] Umm Al Qura Univ, Dept Elect Engn, Mecca 24382, Saudi Arabia</t>
  </si>
  <si>
    <t>Vidyasagar University; North Eastern Regional Institute of Science &amp; Technology (NERIST); Umm Al Qura University</t>
  </si>
  <si>
    <t>10.1109/ACCESS.2024.3481640</t>
  </si>
  <si>
    <t>Manna, Atanu; Pahari, Subhajit; Biswas, Debasish; Banerjee, Dipa; Das, Debasis</t>
  </si>
  <si>
    <t>Work-life balance and employee commitment in the new normal: evidence from Indian railway using mixed-method approach</t>
  </si>
  <si>
    <t>KYBERNETES</t>
  </si>
  <si>
    <t>[Manna, Atanu] Vidyasagar Univ, Ctr Environm Studies, Midnapore, India; [Pahari, Subhajit] Symbiosis Int Deemed Univ, Symbiosis Ctr Management Studies, Nagpur Campus, Pune, India; [Biswas, Debasish; Banerjee, Dipa] Vidyasagar Univ, Dept Business Adm, Midnapore, India; [Das, Debasis] Haldia Inst Technol, Dept Management, Haldia, India</t>
  </si>
  <si>
    <t>Vidyasagar University; Symbiosis International University; Symbiosis Centre for Management Studies Pune; Vidyasagar University; Haldia Institute of Technology</t>
  </si>
  <si>
    <t>Pahari, S (corresponding author), Symbiosis Int Deemed Univ, Symbiosis Ctr Management Studies, Nagpur Campus, Pune, India.</t>
  </si>
  <si>
    <t>0368-492X</t>
  </si>
  <si>
    <t>1758-7883</t>
  </si>
  <si>
    <t>10.1108/K-06-2023-1002</t>
  </si>
  <si>
    <t>Computer Science, Cybernetics</t>
  </si>
  <si>
    <t>Ganguly, Sanchari; Kuiti, Mithu Rani; Das, Pritha; Maiti, Manoranjan</t>
  </si>
  <si>
    <t>Effect of fairness and overconfidence on pricing strategy of substitute bundles in a two-echelon supply chain</t>
  </si>
  <si>
    <t>[Ganguly, Sanchari; Das, Pritha] Indian Inst Engn Sci &amp; Technol, Dept Math, Howrah 711103, West Bengal, India; [Kuiti, Mithu Rani] Indian Inst Technol, Sch Management &amp; Entrepreneurship, Jodhpur 342027, Rajasthan, India; [Maiti, Manoranjan] Vidyasagar Univ, Dept Appl Math Oceanol &amp; Comp Programming, Midnapore 721102, West Bengal, India</t>
  </si>
  <si>
    <t>Indian Institute of Engineering Science Technology Shibpur (IIEST); Indian Institute of Technology System (IIT System); Indian Institute of Technology (IIT) - Jodhpur; Vidyasagar University</t>
  </si>
  <si>
    <t>Ganguly, S (corresponding author), Indian Inst Engn Sci &amp; Technol, Dept Math, Howrah 711103, West Bengal, India.</t>
  </si>
  <si>
    <t>10.1051/ro/2023009</t>
  </si>
  <si>
    <t>Changdar, Chiranjit; Mondal, Moumita; Giri, Pravash Kumar; Nandi, Utpal; Pal, Rajat Kumar</t>
  </si>
  <si>
    <t>A two-phase ant colony optimization based approach for single depot multiple travelling salesman problem in Type-2 fuzzy environment</t>
  </si>
  <si>
    <t>[Changdar, Chiranjit] Belda Coll, Dept Comp Sci, Paschim Medinipur 721424, W Bengal, India; [Mondal, Moumita] Shri JJT Univ, Dept Comp Sci &amp; Engn, Jhunjhunu 333010, Rajasthan, India; [Giri, Pravash Kumar] Govt Gen Degree Coll, Dept Math, Dantan 2, Paschim Medinipur 721445, W Bengal, India; [Nandi, Utpal] Vidyasagar Univ, Dept Comp Sci, Midnapore 721102, W Bengal, India; [Pal, Rajat Kumar] Univ Calcutta, Dept Comp Sci &amp; Engn, Kolkata 700106, W Bengal, India</t>
  </si>
  <si>
    <t>Changdar, C (corresponding author), Belda Coll, Dept Comp Sci, Paschim Medinipur 721424, W Bengal, India.</t>
  </si>
  <si>
    <t>10.1007/s10462-022-10190-9</t>
  </si>
  <si>
    <t>Paria, Prasenjit; Pakhira, Abhijit; Chakraborty, Hirak Jyoti; Mohapatra, Pradeep Kumar Das; Parida, Pranaya Kumar; Behera, Bijay Kumar</t>
  </si>
  <si>
    <t>Trh positive strain of Vibrio parahaemolyticus induce immunity by modulating MAPK pathway: A molecular pathogenic insight in immune-related gene regulation</t>
  </si>
  <si>
    <t>[Paria, Prasenjit; Pakhira, Abhijit; Chakraborty, Hirak Jyoti; Parida, Pranaya Kumar; Behera, Bijay Kumar] Cent Inland Fisheries Res Inst, ICAR, Biotechnol Lab, Kolkata 700120, West Bengal, India; [Paria, Prasenjit] Vidyasagar Univ, Midnapore 721102, W Bengal, India; [Pakhira, Abhijit] Vivekananda Mahavidyalaya, Dept Zool, Hooghly 712405, W Bengal, India; [Mohapatra, Pradeep Kumar Das] Raiganj Univ, Dept Microbiol, Uttar Dinajpur 733134, W Bengal, India</t>
  </si>
  <si>
    <t>Behera, BK (corresponding author), Cent Inland Fisheries Res Inst, ICAR, Biotechnol Lab, Kolkata 700120, West Bengal, India.</t>
  </si>
  <si>
    <t>10.1016/j.micpath.2022.105436</t>
  </si>
  <si>
    <t>Thanglen, H; Zimik, U; Thanglen, R; Pemmichon, RM; Chanak, M; Bose, K</t>
  </si>
  <si>
    <t>Thanglen, Hosea; Zimik, Urapam; Thanglen, Ramthar; Pemmichon, R. M.; Chanak, Mahua; Bose, Kaushik</t>
  </si>
  <si>
    <t>Anthropometric markers and their cut-off point for the prediction of hypertension with lifestyle as a risk factor among Chiru tribe of North East India</t>
  </si>
  <si>
    <t>ETHNICITY &amp; HEALTH</t>
  </si>
  <si>
    <t>Body mass index; waist circumference; waist hip ratio; waist height ratio; hypertension; Chiru tribe</t>
  </si>
  <si>
    <t>BODY-MASS INDEX; TO-HEIGHT RATIO; WAIST CIRCUMFERENCE; FAT DISTRIBUTION; OBESITY; PATHOPHYSIOLOGY; ASSOCIATION; POPULATION; VALUES; ADULTS</t>
  </si>
  <si>
    <t>Background: The increased prevalence of obesity, particularly central obesity, is closely associated with many metabolic complexions, including hypertension and diabetes. Objectives: The present study investigates the cut-off points of some anthropometric measurements such as body mass index [BMI (kg/m2)], waist circumference [WC (cm)], waist-hip ratio (WHR), and waist-height ratio (WHtR) associated with high blood pressure. It determines the risk factors among the Chiru tribe of North East India. Methods: The cross-sectional study was conducted in four villages in the hilly districts of Manipur. For the present study, 416 Chiru adults (209 males and 207 females) aged 20-79 years were included. Anthropometrics and blood pressure were measured using standard procedures. Statistical methods such as chi-square, Pearson correlation, and multivariate logistic regression were employed. Results: The result indicates that the cut-off values to detect hypertension were 21.83 for BMI, 82.55 for WC, 0.92 for WHR, and 0.53 for WHtR. However, the cut-off values to detect hypertension in females were 23.92 for BMI, 86.48 for WC, 0.94 for WHR, and 0.55 for WHtR. Multivariate logistic regression analysis indicated that hypertension was an independently associated risk factor in both males and females with an age &gt;= 50 years (OR = 18.52 and 10.12), physical activity (OR = 0.10 and 0.21), salt intake (OR = 7.81 and 3.36), and smoking (OR = 2.56 and 3.23), respectively. Conclusion: It has been concluded that BMI, WC, WHR, and WHtR values can determine hypertension risk in the Chiru population. Age, smoking, physical activity, and salt intake were independent risk factors associated with high blood pressure.</t>
  </si>
  <si>
    <t>[Thanglen, Hosea] Rajiv Gandhi Univ, Dept Anthropol, Itanagar, Arunachal Prade, India; [Zimik, Urapam] Kamakhya Pemton Coll, Dept Anthropol, Imphal, Manipur, India; [Thanglen, Ramthar] Manipur Univ, Dept Econ, Imphal, Manipur, India; [Pemmichon, R. M.] Manipur Univ, Dept Anthropol, Imphal, Manipur, India; [Chanak, Mahua; Bose, Kaushik] Vidyasagar Univ, Dept Anthropol, Midnapore 721102, West Bengal, India</t>
  </si>
  <si>
    <t>Rajiv Gandhi University, Itanagar; Manipur University; Manipur University; Vidyasagar University</t>
  </si>
  <si>
    <t>Chanak, M (corresponding author), Vidyasagar Univ, Dept Anthropol, Midnapore 721102, West Bengal, India.</t>
  </si>
  <si>
    <t>1355-7858</t>
  </si>
  <si>
    <t>1465-3419</t>
  </si>
  <si>
    <t>ETHNIC HEALTH</t>
  </si>
  <si>
    <t>Ethn. Health</t>
  </si>
  <si>
    <t>4-5</t>
  </si>
  <si>
    <t>10.1080/13557858.2024.2342326</t>
  </si>
  <si>
    <t>Ethnic Studies; Public, Environmental &amp; Occupational Health</t>
  </si>
  <si>
    <t>Ghosh, K; Chakraborty, T; Patel, PP</t>
  </si>
  <si>
    <t>Ghosh, Kausik; Chakraborty, Tapan; Patel, Priyank Pravin</t>
  </si>
  <si>
    <t>A new braiding index to assess river regulation effects in multi-thread channels: Insights from a highly regulated Himalayan river</t>
  </si>
  <si>
    <t>RIVER RESEARCH AND APPLICATIONS</t>
  </si>
  <si>
    <t>braided rivers; braiding index; dry channels; hydropeaking; regulated reaches and river management; river regulation</t>
  </si>
  <si>
    <t>BRAHMAPUTRA RIVER; DOWNSTREAM; CONFINEMENT; RESERVOIR; PLANFORM; IMPACTS; PATTERN; EXAMPLE; VALLEY; ASSAM</t>
  </si>
  <si>
    <t>River regulation by dams and embankments drastically reduce/alter flow, which affects the natural channel pattern. Existing braiding indices have seldom incorporated the effects of diurnal flow variations caused by hydropeaking, leading to over/underestimation of the braiding intensity. These indices consider only the visible wet channels, ignoring the existence of dry channels that are activated only episodically during phases of water release from hydropower dams. We have extracted the dry channels (those that are periodically wet) coursing across the channel belt of the highly regulated River Tista from Landsat images between 1977 and 2014, using Normalized Difference Wetness Index values. These were combined with existing wet channel widths and numbers to formulate the Regulated Braiding Index (RBi) for characterizing channel braiding in the Tista's course over the Himalayan foothill plains. Overall, the widths and numbers of wet channels decreased by 63% and 25%, respectively, during the regulated years (2003 and 2014) as compared to pre-dam years (1977 and 1995) due to the collective operation of 14 upstream dams/barrages (having cumulative similar to 89 million m(3) reservoir capacity), whose operations reduced the braiding intensity (eliciting lower RBi values). Further, the number of high braiding reaches decreased by half while low braiding stretches rose by 10% in comparison to the pre-dam period due to reduced/regulated flow. Comparative analysis of derived RBi values with three existing braiding indices revealed that RBi values consistently decreased near barrages, bridges, and within embankment-confined reaches, unlike the other indices, thus providing a better framework for assessing expected river regulation effects.</t>
  </si>
  <si>
    <t>[Ghosh, Kausik] Vidyasagar Univ, Dept Geog, Midnapore, India; [Chakraborty, Tapan] Indian Stat Inst, Geol Studies Unit, Kolkata, India; [Patel, Priyank Pravin] Presidency Univ, Dept Geog, Kolkata, India</t>
  </si>
  <si>
    <t>Vidyasagar University; Indian Statistical Institute; Indian Statistical Institute Kolkata; Presidency University, Kolkata</t>
  </si>
  <si>
    <t>Ghosh, K (corresponding author), Vidyasagar Univ, Dept Geog, Midnapore, India.</t>
  </si>
  <si>
    <t>1535-1459</t>
  </si>
  <si>
    <t>1535-1467</t>
  </si>
  <si>
    <t>10.1002/rra.4261</t>
  </si>
  <si>
    <t>Environmental Sciences; Water Resources</t>
  </si>
  <si>
    <t>Nexus between Housing Price and Magnitude of Pollution: Evidence from the Panel of Some High- and-Low Polluting Cities of the World</t>
  </si>
  <si>
    <t>SUSTAINABILITY</t>
  </si>
  <si>
    <t>[Das, Ramesh Chandra] Vidyasagar Univ, Dept Econ, Midnapore 721102, India; [Chatterjee, Tonmoy] Bhairab Ganguly Coll, Dept Econ, Kolkata 700056, India; [Ivaldi, Enrico] Univ Genoa, Dept Polit Sci, I-16124 Genoa, Italy</t>
  </si>
  <si>
    <t>Ivaldi, E (corresponding author), Univ Genoa, Dept Polit Sci, I-16124 Genoa, Italy.</t>
  </si>
  <si>
    <t>2071-1050</t>
  </si>
  <si>
    <t>10.3390/su14159283</t>
  </si>
  <si>
    <t>Green &amp; Sustainable Science &amp; Technology; Environmental Sciences; Environmental Studies</t>
  </si>
  <si>
    <t>Mallick, SK; Sahu, N; Das, P; Maity, B; Varun, A; Kumar, A; Keswarwani, R; Saini, A; Rudra, S</t>
  </si>
  <si>
    <t>Mallick, Suraj Kumar; Sahu, Netrananda; Das, Pritiranjan; Maity, Biswajit; Varun, Ayush; Kumar, Anil; Keswarwani, Ravi; Saini, Atul; Rudra, Somnath</t>
  </si>
  <si>
    <t>Impact of urban growth in Delhi and It's Peri-urban environment on urban heat exposure</t>
  </si>
  <si>
    <t>Delhi-NCR; Land surface temperature; Urban heat island; Urban thermal field variance index; Urban heat exposure</t>
  </si>
  <si>
    <t>LAND-SURFACE TEMPERATURE; CLIMATE-CHANGE; ISLAND; CITY; STRESS; AREA; MITIGATION; SATELLITE; CITIES; GREEN</t>
  </si>
  <si>
    <t>Urban heat exposure (UHE) is a widespread micro-climatic event for large metropolitan and rapidly growing cities globally. Therefore, this study mainly focuses on urbanization impacts on the seasonal variation of the UHE in Delhi-National Capital Region (NCR) and its peri-urban environment during 2005-2020 and its reduction strategies based on Landsat dataset and MODIS dataset. To calculate the UHE, this study uses seasonal diurnal and nocturnal land surface temperature (LST), urban heat island (UHI) and urban thermal field variance index (UTFVI) maps for 2005 and 2020. The result shows that winter diurnal and nocturnal LST has been significantly increased by 2.7 degrees C. UTFVI results also shows that the ecological condition in the central to southern part not enough to reduce the heat and increase thermal discomfort. Similarly, UHI intensities have been extended from central to southern part and its surroundings due to rapid urban expansion and population concentration. Finally, we get the UHE maps for 2005 and 2020. Whoever, Delhi has high increasing trend of Urban heat exposure Zone (UHEZ) with maximum areal concentration both seasons. Finally, recommended some area-specific heat mitigation strategies for Delhi-NCR that can be helpful for urban planners and researcher in future land use planning and urban climate studies.</t>
  </si>
  <si>
    <t>[Mallick, Suraj Kumar] Univ Delhi, Shaheed Bhagat Singh Coll, Dept Geog, New Delhi 110017, India; [Sahu, Netrananda; Das, Pritiranjan; Varun, Ayush; Kumar, Anil; Keswarwani, Ravi] Univ Delhi, Delhi Sch Econ, Dept Geog, New Delhi 110007, India; [Das, Pritiranjan] Univ Delhi, Shaheed Bhagat Singh Evening Coll, Dept Geog, New Delhi 110017, India; [Maity, Biswajit; Rudra, Somnath] Vidyasagar Univ, Dept Geog, Midnapore 721102, W Bengal, India; [Saini, Atul] Hemvati Nandan Bahuguna Garhwal Univ, Cent Univ, Dept Geog, BGR Campus, Pauri Garhwal 246001, Uttarakhand, India</t>
  </si>
  <si>
    <t>University of Delhi; Delhi School of Economics; University of Delhi; University of Delhi; Vidyasagar University; Hemwati Nandan Bahuguna Garhwal University</t>
  </si>
  <si>
    <t>Sahu, N (corresponding author), Univ Delhi, Delhi Sch Econ, Dept Geog, New Delhi 110007, India.</t>
  </si>
  <si>
    <t>10.1016/j.uclim.2024.102010</t>
  </si>
  <si>
    <t>Ghosh, Srinjana; Sarkar, Subhankar Kumar; Chakraborty, Susanta</t>
  </si>
  <si>
    <t>New distributional records of fireflies (Coleoptera, Lampyridae, Luciolinae) from two Eastern States of India with notes on their biology and an updated Indian checklist</t>
  </si>
  <si>
    <t>BIODIVERSITY DATA JOURNAL</t>
  </si>
  <si>
    <t>[Ghosh, Srinjana] Bethune Coll, Dept Zool, Kolkata, India; [Sarkar, Subhankar Kumar] Univ Kalyani, Dept Zool, Entomol Lab, Kalyani, India; [Chakraborty, Susanta] Vidyasagar Univ, Dept Zool, Midnapore, India</t>
  </si>
  <si>
    <t>Kalyani University; Vidyasagar University</t>
  </si>
  <si>
    <t>Sarkar, SK (corresponding author), Univ Kalyani, Dept Zool, Entomol Lab, Kalyani, India.</t>
  </si>
  <si>
    <t>PENSOFT PUBLISHERS</t>
  </si>
  <si>
    <t>SOFIA</t>
  </si>
  <si>
    <t>12 PROF GEORGI ZLATARSKI ST, SOFIA, 1700, BULGARIA</t>
  </si>
  <si>
    <t>1314-2836</t>
  </si>
  <si>
    <t>1314-2828</t>
  </si>
  <si>
    <t>10.3897/BDJ.11.e98948</t>
  </si>
  <si>
    <t>Biodiversity Conservation</t>
  </si>
  <si>
    <t>Biodiversity &amp; Conservation</t>
  </si>
  <si>
    <t>Mondal, Joy; Patra, Chiranjit; Das Mahapatra, Ananya; Mandal, Keshab Chandra; Chattopadhyay, Debprasad</t>
  </si>
  <si>
    <t>Ethnomedicinal Plant Stephania hernandifolia and its Active Fraction 2-Chloroethyl Linoleate Inhibits HSV-2 Infection by Blocking Viral Immediate Early and Early Transcription</t>
  </si>
  <si>
    <t>CURRENT DRUG THERAPY</t>
  </si>
  <si>
    <t>[Mondal, Joy; Patra, Chiranjit; Das Mahapatra, Ananya; Chattopadhyay, Debprasad] ID &amp; BG Hosp, ICMR Natl Inst Cholera &amp; Enter Dis NICED, Virus Unit, GB-4,First Floor,57 Dr Suresh C Banerjee Rd, Kolkata 700010, India; [Mondal, Joy; Mandal, Keshab Chandra] Vidyasagar Univ, Dept Microbiol, Midnapore, W Bengal, India; [Chattopadhyay, Debprasad] ICMR Natl Inst Tradit Med, Nehru Nagar 590010, Belagavi, India</t>
  </si>
  <si>
    <t>Indian Council of Medical Research (ICMR); ICMR - National Institute of Cholera &amp; Enteric Diseases (NICED); Vidyasagar University; Indian Council of Medical Research (ICMR); ICMR - National Institute of Traditional Medicine (NITM)</t>
  </si>
  <si>
    <t>Chattopadhyay, D (corresponding author), ICMR Natl Inst Tradit Med, Nehru Nagar 590010, Belagavi, India.;Chattopadhyay, D (corresponding author), ID &amp; BG Hosp, ICMR NICED Virus Unit, GB-4,First Floor,57 Dr Suresh C Banerjee Rd, Kolkata, India.</t>
  </si>
  <si>
    <t>1574-8855</t>
  </si>
  <si>
    <t>2212-3903</t>
  </si>
  <si>
    <t>10.2174/1574885517666220512165130</t>
  </si>
  <si>
    <t>Ghosh, S; Sarkar, SK; Chakraborty, SK</t>
  </si>
  <si>
    <t>Ghosh, Srinjana; Sarkar, Subhankar Kumar; Chakraborty, Susanta Kumar</t>
  </si>
  <si>
    <t>Triangulara sunderbanensis sp. nov. (Coleoptera: Lampyridae) - a new firefly species from the Sunderban Biosphere Reserve in India</t>
  </si>
  <si>
    <t>ORIENTAL INSECTS</t>
  </si>
  <si>
    <t>Firefly; mangrove; new species; oriental; taxonomy</t>
  </si>
  <si>
    <t>GENUS</t>
  </si>
  <si>
    <t>A new lampyrid species, Triangulara sunderbanensis sp. nov., collected from the mangrove fringes of Sunderban Biosphere Reserve, India (a World Heritage Site), is described. It is the second species recorded for the genus Triangulara Pimpasalee, 2016. Individuals of the new species were collected from moist, grassy patches close to water and forest interphase of the mangrove ecosystem of the Sunderbans, India.</t>
  </si>
  <si>
    <t>[Ghosh, Srinjana] Bethune Coll, Dept Zool, Kolkata, India; [Sarkar, Subhankar Kumar] Univ Kalyani, Dept Zool, Entomol Lab, Kalyani, India; [Chakraborty, Susanta Kumar] Vidyasagar Univ, Dept Zool, Midnapore, India; [Sarkar, Subhankar Kumar] Univ Kalyani, Dept Zool, Entomol Lab, Kalyani 741235, W Bengal, India</t>
  </si>
  <si>
    <t>Sarkar, SK (corresponding author), Univ Kalyani, Dept Zool, Entomol Lab, Kalyani, India.;Sarkar, SK (corresponding author), Univ Kalyani, Dept Zool, Entomol Lab, Kalyani 741235, W Bengal, India.</t>
  </si>
  <si>
    <t>0030-5316</t>
  </si>
  <si>
    <t>2157-8745</t>
  </si>
  <si>
    <t>10.1080/00305316.2023.2289968</t>
  </si>
  <si>
    <t>Paria, P; Chakraborty, HJ; Pakhira, A; Devi, MS; Mohapatra, PKD; Behera, BK</t>
  </si>
  <si>
    <t>Paria, Prasenjit; Chakraborty, Hirak Jyoti; Pakhira, Abhijit; Devi, Manoharmayum Shaya; Mohapatra, Pradeep Kumar Das; Behera, Bijay Kumar</t>
  </si>
  <si>
    <t>Identification of virulence-associated factors in Vibrio parahaemolyticus with special reference to moonlighting protein: a secretomics study</t>
  </si>
  <si>
    <t>Vibrio parahaemolyticus; Secretomics; Host-pathogen interactions; Proteomics; Moonlighting proteins; Pathogenicity</t>
  </si>
  <si>
    <t>Vibrio parahaemolyticus causes seafood-borne gastroenteritis infection in human which can even lead to death. The pathogenic strain of V. parahaemolyticus secretes different types of virulence factors that are directly injected into the host cell by a different type of secretion system which helps bacteria to establish its own ecological niche within the organism. Therefore, the aim of this study was to isolate the extracellular secreted proteins from the trh positive strain of V. parahaemolyticus and identify them using two-dimensional gel electrophoresis and MALDI-TOFMS/MS. Seventeen different cellular proteins viz, Carbamoyl-phosphate synthase, 5-methyltetrahydropteroyltriglutamate, tRNA-dihydrouridine synthase, Glycerol-3-phosphate dehydrogenase, Orotidine 5 '-phosphate decarboxylase, Molybdenum import ATP-binding protein, DnaJ, DNA polymerase IV, Ribosomal RNA small subunit methyltransferase G, ATP synthase subunit delta and gamma, Ribosome-recycling factor, 4-hydroxy-3-methylbut-2-en-1-yl diphosphate synthase, tRNA pseudouridine synthase B, Ditrans, polycis-undecaprenyl-diphosphate synthase, Oxygen-dependent coproporphyrinogen-III oxidase, and Peptide deformylase 2 were identified which are mainly involved in different metabolic and biosynthetic pathways. Furthermore, the molecular function of the identified proteins were associated with catalytic activity, ligase activity, transporter, metal binding, and ATP synthase when they are intercellular. However, to understand the importance of these secreted proteins in the infection and survival of bacteria inside the host cell, pathogen-host protein-protein interactions (PPIs) were carried out which identified the association of eight secreted proteins with 41 human proteins involved in different cellular pathways, including ubiquitination degradation, adhesion, inflammation, immunity, and programmed cell death. The present study provides unreported strategies on host-cell environment's survival and adaptation mechanisms for the successful establishment of infections and intracellular propagation.</t>
  </si>
  <si>
    <t>[Paria, Prasenjit; Chakraborty, Hirak Jyoti; Devi, Manoharmayum Shaya; Behera, Bijay Kumar] ICAR Cent Inland Fisheries Res Inst, Aquat Environm Biotechnol &amp; Nanotechnol Div, Kolkata 700120, West Bengal, India; [Paria, Prasenjit] Vidyasagar Univ, Midnapore 721102, West Bengal, India; [Pakhira, Abhijit] Vivekananda Mahavidyalaya, Dept Zool, Hooghly 712405, West Bengal, India; [Mohapatra, Pradeep Kumar Das] Raiganj Univ, Dept Microbiol, Raiganj 733134, West Bengal, India</t>
  </si>
  <si>
    <t>Behera, BK (corresponding author), ICAR Cent Inland Fisheries Res Inst, Aquat Environm Biotechnol &amp; Nanotechnol Div, Kolkata 700120, West Bengal, India.</t>
  </si>
  <si>
    <t>10.1007/s10123-023-00429-y</t>
  </si>
  <si>
    <t>Barman, Haripriya; Pervin, Magfura; Roy, Sankar Kumar; Weber, Gerhard-Wilhelm</t>
  </si>
  <si>
    <t>Analysis of a dual-channel green supply chain game-theoretical model under carbon policy</t>
  </si>
  <si>
    <t>[Barman, Haripriya; Roy, Sankar Kumar] Vidyasagar Univ, Dept Appl Math Oceanol &amp; Comp Programming, Midnapore 721102, W Bengal, India; [Pervin, Magfura] Brainware Univ, Dept Math, Kolkata, W Bengal, India; [Weber, Gerhard-Wilhelm] Poznan Univ Tech, Fac Engn Management, Poznan, Poland; [Weber, Gerhard-Wilhelm] METU, Inst Appl Math IAM, Ankara, Turkiye</t>
  </si>
  <si>
    <t>10.1080/23302674.2023.2242770</t>
  </si>
  <si>
    <t>Chakraborty, Debarun; Mehta, Prashant; Dash, Ganesh; Khan, Nusrat; Jain, Ravi Kumar; Biswas, Debasish</t>
  </si>
  <si>
    <t>What Drives Consumers to Adopt Mobile Payment Apps in the Post-COVID-19 Scenario: The Role of Openness to Change and User Involvement</t>
  </si>
  <si>
    <t>JOURNAL OF GLOBAL INFORMATION MANAGEMENT</t>
  </si>
  <si>
    <t>[Chakraborty, Debarun; Mehta, Prashant] Constituent Symbiosis Int Deemed Univ, Symbiosis Inst Business Management Nagpur, Pune, India; [Dash, Ganesh] Saudi Elect Univ, Coll Adm &amp; Financial Sci, Riyadh, Saudi Arabia; [Khan, Nusrat] Saudi Elect Univ, Coll Adm &amp; Financial Sci, Jeddah Branch, Riyadh, Saudi Arabia; [Jain, Ravi Kumar] Sparsh Global Business Sch, Greater Noida, India; [Biswas, Debasish] Vidyasagar Univ, Dept Business Adm, Midnapore, India</t>
  </si>
  <si>
    <t>Symbiosis International University; Saudi Electronic University; Saudi Electronic University; Vidyasagar University</t>
  </si>
  <si>
    <t>Dash, G (corresponding author), Saudi Elect Univ, Coll Adm &amp; Financial Sci, Riyadh, Saudi Arabia.</t>
  </si>
  <si>
    <t>1062-7375</t>
  </si>
  <si>
    <t>1533-7995</t>
  </si>
  <si>
    <t>10.4018/JGIM.332799</t>
  </si>
  <si>
    <t>Patra, Tanmoy; Dutta, Dipanwita; Kundu, Arnab; Kumar, Mukesh; Hossain, Sk Sabir; Chattoraj, K. K.</t>
  </si>
  <si>
    <t>Evolution of Opencast Mines in the Raniganj Coalfield (India): An Assessment through Multi-temporal Satellite Data</t>
  </si>
  <si>
    <t>[Patra, Tanmoy; Dutta, Dipanwita; Hossain, Sk Sabir] Vidyasagar Univ, Dept Remote Sensing &amp; GIS, Midnapore 721102, India; [Patra, Tanmoy] Eastern Coalfields Ltd CIL, West Bardhaman 713333, Raniganj, India; [Kundu, Arnab] Bankura Univ, PRMS Mahavidyalaya, Dept Geoinformat, Bankura 722150, India; [Kumar, Mukesh] Sam Higginbottom Univ Agr Technol &amp; Sci, Ctr Geospatial Technol, Prayagraj 211007, India; [Chattoraj, K. K.] Kazi Nazrul Univ, Dept Geog, Asansol 713340, W Bengal, India</t>
  </si>
  <si>
    <t>Vidyasagar University; Sam Higginbottom University of Agriculture, Technology &amp; Sciences</t>
  </si>
  <si>
    <t>Dutta, D (corresponding author), Vidyasagar Univ, Dept Remote Sensing &amp; GIS, Midnapore 721102, India.</t>
  </si>
  <si>
    <t>10.1007/s12594-022-1990-5</t>
  </si>
  <si>
    <t>Datta, Kankana; Jana, Biswapati; Chakraborty, Mamata Dalui</t>
  </si>
  <si>
    <t>Haldia Institute of Technology; Vidyasagar University; National Institute of Technology (NIT System); National Institute of Technology Durgapur</t>
  </si>
  <si>
    <t>Palanikumar, Murugan; Arulmozhi, Krishnan; Jana, Chiranjibe; Pal, Madhumangal</t>
  </si>
  <si>
    <t>Multiple-attribute decision-making spherical vague normal operators and their applications for the selection of farmers</t>
  </si>
  <si>
    <t>EXPERT SYSTEMS</t>
  </si>
  <si>
    <t>[Palanikumar, Murugan] Saveetha Univ, Dept Math, Saveetha Inst Med &amp; Tech Sci, Saveetha Sch Engn, Chennai, Tamil Nadu, India; [Arulmozhi, Krishnan] Bharath Inst Higher Educ &amp; Res, Dept Math, Chennai, Tamil Nadu, India; [Jana, Chiranjibe; Pal, Madhumangal] Vidyasagar Univ, Dept Appl Math, Oceanol &amp; Comp Programming, Midnapore 721102, India</t>
  </si>
  <si>
    <t>Jana, C (corresponding author), Vidyasagar Univ, Dept Appl Math, Oceanol &amp; Comp Programming, Midnapore 721102, India.</t>
  </si>
  <si>
    <t>0266-4720</t>
  </si>
  <si>
    <t>1468-0394</t>
  </si>
  <si>
    <t>10.1111/exsy.13188</t>
  </si>
  <si>
    <t>Computer Science, Artificial Intelligence; Computer Science, Theory &amp; Methods</t>
  </si>
  <si>
    <t>Muhiuddin, G.; Pramanik, Tarasankar; Alanazi, Abdulaziz M.; Mahboob, Ahsan; Pal, Madhumangal</t>
  </si>
  <si>
    <t>Independent Fuzzy Graph: A New Approach</t>
  </si>
  <si>
    <t>[Muhiuddin, G.; Alanazi, Abdulaziz M.] Univ Tabuk, Dept Math, Tabuk 71491, Saudi Arabia; [Pramanik, Tarasankar] Khanpur Gangche High Sch, Dept Math, Pandua 721201, Paschim Medinip, India; [Mahboob, Ahsan] Madanapalle Inst Technol &amp; Sci, Dept Math, Angallu 517325, Madanapalle, India; [Pal, Madhumangal] Vidyasagar Univ, Dept Appl Math Oceanol &amp; Comp Programming, Midnapore 721102, India</t>
  </si>
  <si>
    <t>University of Tabuk; Madanapalle Institute of Technology &amp; Science; Vidyasagar University</t>
  </si>
  <si>
    <t>10.1007/s40010-022-00769-w</t>
  </si>
  <si>
    <t>Al Mamon, Abdulla; Paliathanasis, Andronikos; Saha, Subhajit</t>
  </si>
  <si>
    <t>An extended analysis for a generalized Chaplygin gas model</t>
  </si>
  <si>
    <t>EUROPEAN PHYSICAL JOURNAL C</t>
  </si>
  <si>
    <t>[Al Mamon, Abdulla] Vidyasagar Univ, Vivekananda Satavarshiki Mahavidyalaya, Dept Phys, Manikpara 721513, W Bengal, India; [Paliathanasis, Andronikos] Durban Univ Technol, Inst Syst Sci, POB 1334, ZA-4000 Durban, South Africa; [Paliathanasis, Andronikos] Univ Austral Chile, Inst Ciencias Fis &amp; Matemat, Valdivia 5090000, Chile; [Saha, Subhajit] Panihati Mahavidyalaya, Dept Math, Kolkata 700110, W Bengal, India</t>
  </si>
  <si>
    <t>Vidyasagar University; Durban University of Technology; Universidad Austral de Chile</t>
  </si>
  <si>
    <t>Al Mamon, A (corresponding author), Vidyasagar Univ, Vivekananda Satavarshiki Mahavidyalaya, Dept Phys, Manikpara 721513, W Bengal, India.</t>
  </si>
  <si>
    <t>1434-6044</t>
  </si>
  <si>
    <t>1434-6052</t>
  </si>
  <si>
    <t>10.1140/epjc/s10052-022-10185-4</t>
  </si>
  <si>
    <t>Mortoja, SG; Paul, A; Panja, P; Bhattacharya, S; Mondal, SK</t>
  </si>
  <si>
    <t>Mortoja, Sk Golam; Paul, Ayan; Panja, Prabir; Bhattacharya, Sabyasachi; Mondal, Shyamal Kumar</t>
  </si>
  <si>
    <t>Role Reversals in a Tri-Trophic Prey-Predator Interaction System: A Model-Based Study Using Deterministic and Stochastic Approaches</t>
  </si>
  <si>
    <t>MATHEMATICAL AND COMPUTATIONAL APPLICATIONS</t>
  </si>
  <si>
    <t>reverse feeding behavior; bifurcation; global stability; sensitivity analysis; conditional moments</t>
  </si>
  <si>
    <t>INTRAGUILD PREDATION; SURVIVAL</t>
  </si>
  <si>
    <t>It is frequently observed that adult members of prey species sometimes use their predation mechanism on juvenile members of predator species. Ecological literature describes this phenomenon as prey-predator role reversal dynamics.Numerous authors have observed and described the biological development behind this feeding behaviour. However, the dynamics of this role reversal have hardly been illustrated in the literature in a precise way. In this regard, we formulated an ecological model using the standard prey-predator interactions, allowing for a reverse feeding mechanism. The mathematical model consisted of a three-species food-web structure comprising the common prey, intermediate predator, and top predator. Note that a role-reversal mechanism was observed between the intermediate and top predators based on the scarcity of the prey population. However, we observed the most critical parameters had a significant effect on this reverse feeding behaviour. The bifurcation analysis is the primary criterion for this identification. The proposed deterministic model is then extended to its stochastic analogue by allowing for environmental influences on the tri-trophic food web structure. The conditional moment approach is applied to obtain the equilibrium distribution of populations and their conditional moments in the system. The stochastic setup analysis also supports the stability of this food chain structure, with some restricted conditions. Finally, to facilitate the interpretation of our mathematical results, we investigated it using numerical simulations.</t>
  </si>
  <si>
    <t>[Mortoja, Sk Golam; Mondal, Shyamal Kumar] Vidyasagar Univ, Dept Appl Math Oceanol &amp; Comp Programming, Midnapore 721102, India; [Paul, Ayan; Bhattacharya, Sabyasachi] Indian Stat Inst, Agr &amp; Ecol Res Unit, Kolkata 700108, India; [Panja, Prabir] Haldia Inst Technol, Dept Appl Sci, Haldia 721657, India</t>
  </si>
  <si>
    <t>Vidyasagar University; Indian Statistical Institute; Indian Statistical Institute Kolkata; Haldia Institute of Technology</t>
  </si>
  <si>
    <t>1300-686X</t>
  </si>
  <si>
    <t>2297-8747</t>
  </si>
  <si>
    <t>10.3390/mca29010003</t>
  </si>
  <si>
    <t>Maji, S; Maity, S; Bsau, S; Giri, D; Maiti, M</t>
  </si>
  <si>
    <t>Maji, Somnath; Maity, Samir; Bsau, Sumanta; Giri, Debasis; Maiti, Manoranjan</t>
  </si>
  <si>
    <t>Varied offspring memetic algorithm with three parents for a realistic synchronized goods delivery and service problem</t>
  </si>
  <si>
    <t>Memetic algorithm (MA); Modified probabilistic selection; Traveling salesman problem and servicing; Three-parent crossover</t>
  </si>
  <si>
    <t>TRAVELING SALESMAN PROBLEM; GENETIC ALGORITHM; EVOLUTIONARY</t>
  </si>
  <si>
    <t>In a competitive online retail market, orders for assembled products such as refrigerators, air conditioners, smart televisions, etc., attract significant attention due to their high gross merchandise value. Unlike other regular products, product delivery has a two-stage process-delivery of product components and assembly and installation of the final product-involving multiple parties that may be internal or external to the organization. Coordination of the above activities is essential to reduce customer dissatisfaction and to curb the various waiting or demurrage costs due to delayed arrivals of goods vehicles and traveling salesman. This paper attempts to model and solve such a realistic synchronized goods delivery and service problem against the online booking. In this model, one goods vehicle starts from the company's storehouse with all the goods to be delivered and moves continually, dropping the goods at the specified locations. For service, a traveling salesman separately moves and uses the appropriate conveyances among the available ones at each node to reach the customers. This paper poses some interesting research questions to understand the requirements of separate tour paths for goods vehicles and traveling salesman along with appropriate conveyance for traveling salesman's arrival. This is an NP-hard traveling salesman problem. For solving, a varied offspring memetic algorithm (VOMA) with modified probabilistic selection, varied offspring three-parent (i.e., surro-embryos) crossover and Fibo-generation-dependent mutation is developed and tested on some standard test functions to establish its superiority over the standard ones. VOMA implementation on the above proposed problem reveals the influence of unloading and service times, halt time and third-party outsourcing charges on the final optimum route design. Finally, the paper provides a structured decision-making framework for practitioners and showcases a case study by implementing VOMA in a similar problem context.</t>
  </si>
  <si>
    <t>[Maji, Somnath] Maulana Abul Kalam Azad Univ Technol, Dept Comp Sci &amp; Engn, Nadia 741249, WB, India; [Maity, Samir; Bsau, Sumanta] Indian Inst Management Calcutta, Operat Management Grp, DH Rd, Joka 700104, Kolkata, India; [Giri, Debasis] Maulana Abul Kalam Azad Univ Technol, Dept Informat Technol, Nadia 741249, WB, India; [Maiti, Manoranjan] Vidyasagar Univ, Dept Appl Math Oceanol &amp; Comp Programming, Midnapore 721102, India</t>
  </si>
  <si>
    <t>Maulana Abul Kalam Azad University of Technology; Indian Institute of Management (IIM System); Indian Institute of Management Calcutta; Maulana Abul Kalam Azad University of Technology; Vidyasagar University</t>
  </si>
  <si>
    <t>Maity, S (corresponding author), Indian Inst Management Calcutta, Operat Management Grp, DH Rd, Joka 700104, Kolkata, India.</t>
  </si>
  <si>
    <t>10.1007/s00500-023-09574-y</t>
  </si>
  <si>
    <t>Ghosh, N.; Sircar, G.; Saha, S.; Bhattacharya, S. Gupta</t>
  </si>
  <si>
    <t>Next generation therapeutic strategy against pectate lyase allergens</t>
  </si>
  <si>
    <t>ALLERGY</t>
  </si>
  <si>
    <t>[Ghosh, N.] Vidyasagar Univ, Midnapore, India; [Sircar, G.] Presidency Univ, Kolkata, India; [Saha, S.; Bhattacharya, S. Gupta] Bose Inst, New Bldg, Kolkata, India</t>
  </si>
  <si>
    <t>Vidyasagar University; Presidency University, Kolkata; Department of Science &amp; Technology (India); Bose Institute</t>
  </si>
  <si>
    <t>0105-4538</t>
  </si>
  <si>
    <t>1398-9995</t>
  </si>
  <si>
    <t>Allergy; Immunology</t>
  </si>
  <si>
    <t>Muhiuddin, Ghulam; Mahapatra, Tanmoy; Pal, Madhumangal; Alshahrani, Ohoud; Mahboob, Ahsan</t>
  </si>
  <si>
    <t>Integrity on m-Polar Fuzzy Graphs and Its Application</t>
  </si>
  <si>
    <t>[Muhiuddin, Ghulam; Alshahrani, Ohoud] Univ Tabuk, Fac Sci, Dept Math, POB 741, Tabuk 71491, Saudi Arabia; [Mahapatra, Tanmoy; Pal, Madhumangal] Vidyasagar Univ, Dept Appl Math Oceanol &amp; Comp Programming, Midnapore 721102, India; [Mahboob, Ahsan] Madanapalle Inst Technol &amp; Sci, Dept Math, Madanapalle 517325, India</t>
  </si>
  <si>
    <t>University of Tabuk; Vidyasagar University; Madanapalle Institute of Technology &amp; Science</t>
  </si>
  <si>
    <t>10.3390/math11061398</t>
  </si>
  <si>
    <t>Jana, Chiranjibe; Mohamadghasemi, Amir; Pal, Madhumangal; Martinez, Luis</t>
  </si>
  <si>
    <t>An improvement to the interval type-2 fuzzy VIKOR method</t>
  </si>
  <si>
    <t>KNOWLEDGE-BASED SYSTEMS</t>
  </si>
  <si>
    <t>[Jana, Chiranjibe; Pal, Madhumangal] Vidyasagar Univ, Dept Appl Math, Oceanol &amp; Comp Programming, Midnapore 721102, India; [Mohamadghasemi, Amir] Islamic Azad Univ, Dept Management, Zabol Branch, Zabol, Iran; [Martinez, Luis] Univ Jaen, Dept Comp Sci, Jaen 23071, Spain</t>
  </si>
  <si>
    <t>Vidyasagar University; Islamic Azad University; Universidad de Jaen</t>
  </si>
  <si>
    <t>0950-7051</t>
  </si>
  <si>
    <t>1872-7409</t>
  </si>
  <si>
    <t>10.1016/j.knosys.2023.111055</t>
  </si>
  <si>
    <t>Uche, Emmanuel; Das, Narasingha; Bera, Pinki; Cifuentes-Faura, Javier</t>
  </si>
  <si>
    <t>Understanding the imperativeness of environmental-related technological innovations in the FDI - Environmental performance nexus</t>
  </si>
  <si>
    <t>[Uche, Emmanuel] Abia State Univ, Fac Econ &amp; Management Sci, Dept Econ, Uturu, Abia, Nigeria; [Das, Narasingha] Economists Peace &amp; Secur, Australia Chapter, St Leonards, Australia; [Bera, Pinki] Vidyasagar Univ, Dept Econ, Midnapore, India; [Cifuentes-Faura, Javier] Univ Murcia, Fac Econ &amp; Business, Murcia 30100, Spain</t>
  </si>
  <si>
    <t>Vidyasagar University; University of Murcia</t>
  </si>
  <si>
    <t>10.1016/j.renene.2023.02.060</t>
  </si>
  <si>
    <t>Bhakta, Shubhankar; Nandi, Utpal; Si, Tapas; Ghosal, Sudipta Kr; Changdar, Chiranjit; Pal, Rajat Kumar</t>
  </si>
  <si>
    <t>DiffMoment: an adaptive optimization technique for convolutional neural network</t>
  </si>
  <si>
    <t>[Bhakta, Shubhankar; Nandi, Utpal] Vidyasagar Univ, Dept Comp Sci, Midnapore, West Bengal, India; [Si, Tapas] Bankura Unnayani Inst Engn, Dept Comp Sci &amp; Engn, Bankura, West Bengal, India; [Ghosal, Sudipta Kr] Behala Goverment Polytech, Dept Comp Sci &amp; Technol, Kolkata, West Bengal, India; [Changdar, Chiranjit] Belda Coll, Dept Comp Sci, Belda, West Bengal, India; [Pal, Rajat Kumar] Univ Calcutta, Dept Comp Sci &amp; Engn, Kolkata, West Bengal, India</t>
  </si>
  <si>
    <t>Nandi, U (corresponding author), Vidyasagar Univ, Dept Comp Sci, Midnapore, West Bengal, India.</t>
  </si>
  <si>
    <t>10.1007/s10489-022-04382-7</t>
  </si>
  <si>
    <t>Mondal, Susmita; Agrawal, Shivangi; Balasubramanian, Abinaya; Maji, Sachin; Shit, Sandip; Biswas, Paramita; Ghosh, Satyabrata; Islam, Syed S.; Dey, Satyahari</t>
  </si>
  <si>
    <t>Structural analysis of a water insoluble polysaccharide from pearl millet and evaluating its prebiotic activity</t>
  </si>
  <si>
    <t>[Mondal, Susmita; Agrawal, Shivangi; Balasubramanian, Abinaya; Maji, Sachin; Shit, Sandip; Biswas, Paramita; Ghosh, Satyabrata; Dey, Satyahari] Indian Inst Technol Kharagpur, Dept Biotechnol, West Midnapore 721302, W Bengal, India; [Islam, Syed S.] Vidyasagar Univ, Dept Chem &amp; Chem Technol, West Midnapore 721102, W Bengal, India</t>
  </si>
  <si>
    <t>Dey, S (corresponding author), Indian Inst Technol Kharagpur, Dept Biotechnol, West Midnapore 721302, W Bengal, India.</t>
  </si>
  <si>
    <t>10.1016/j.ijbiomac.2023.126469</t>
  </si>
  <si>
    <t>Palanikumar, M.; Al-Shanqiti, Omaima; Jana, Chiranjibe; Pal, Madhumangal</t>
  </si>
  <si>
    <t>Novelty for Different Prime Partial Bi-Ideals in Non-Commutative Partial Rings and Its Extension</t>
  </si>
  <si>
    <t>[Palanikumar, M.] Saveetha Inst Med &amp; Tech Sci, Saveetha Sch Engn, Chennai 602105, India; [Al-Shanqiti, Omaima] Umm Al Qura Univ, Dept Appl Sci, POB 24341, Mecca, Saudi Arabia; [Jana, Chiranjibe; Pal, Madhumangal] Vidyasagar Univ, Dept Appl Math Oceanol &amp; Comp Programming, Midnapore 721102, India</t>
  </si>
  <si>
    <t>Saveetha Institute of Medical &amp; Technical Science; Saveetha School of Engineering; Umm Al Qura University; Vidyasagar University</t>
  </si>
  <si>
    <t>10.3390/math11061309</t>
  </si>
  <si>
    <t>Roy, Tamanna; Dey, Surya Kanta; Pradhan, Ananya; Das Chaudhuri, Angsuman; Dolai, Malay; Mandal, Santi M.; Choudhury, Sujata Maiti</t>
  </si>
  <si>
    <t>Facile and Green Fabrication of Highly Competent Surface-Modified Chlorogenic Acid Silver Nanoparticles: Characterization and Antioxidant and Cancer Chemopreventive Potential</t>
  </si>
  <si>
    <t>[Roy, Tamanna; Dey, Surya Kanta; Pradhan, Ananya; Das Chaudhuri, Angsuman; Choudhury, Sujata Maiti] Vidyasagar Univ, Dept Human Physiol, Biochem Mol Endocrinol &amp; Reprod Physiol Lab, Midnapore 721102, W Bengal, India; [Dolai, Malay] Prabhat Kumar Coll, Dept Chem, Purba Medinipur 721404, W Bengal, India; [Mandal, Santi M.] Indian Inst Technol, Cent Res Facil, Kharagpur 721302, India</t>
  </si>
  <si>
    <t>Choudhury, SM (corresponding author), Vidyasagar Univ, Dept Human Physiol, Biochem Mol Endocrinol &amp; Reprod Physiol Lab, Midnapore 721102, W Bengal, India.</t>
  </si>
  <si>
    <t>10.1021/acsomega.2c05989</t>
  </si>
  <si>
    <t>Poddar, Devastotra; Palmer, Jon; Das, Shantanu; Gaare, Manju; Nag, Arup; Singh, Harjinder</t>
  </si>
  <si>
    <t>Effect of Fluidized Bed Drying, Matrix Constituents and Structure on the Viability of Probiotic Lactobacillus paracasei ATCC 55544 during Storage at 4 °C, 25 °C and 37 °C</t>
  </si>
  <si>
    <t>MICROORGANISMS</t>
  </si>
  <si>
    <t>[Poddar, Devastotra] Vidyasagar Univ, Dept Nutr, Belda Coll, Paschim Medinipur 721424, W Bengal, India; [Poddar, Devastotra; Das, Shantanu; Nag, Arup; Singh, Harjinder] Massey Univ, Riddet Inst, Palmerston North 4442, New Zealand; [Palmer, Jon] Massey Univ, Sch Food &amp; Adv Technol, Palmerston North 4442, New Zealand; [Gaare, Manju] Sardarkrushinagar Dantiwada Agr Univ, Dept Dairy Microbiol, GNP Coll Dairy Technol, Dantiwada 385506, Gujarat, India</t>
  </si>
  <si>
    <t>Vidyasagar University; Massey University; Massey University</t>
  </si>
  <si>
    <t>Poddar, D (corresponding author), Vidyasagar Univ, Dept Nutr, Belda Coll, Paschim Medinipur 721424, W Bengal, India.;Poddar, D (corresponding author), Massey Univ, Riddet Inst, Palmerston North 4442, New Zealand.</t>
  </si>
  <si>
    <t>2076-2607</t>
  </si>
  <si>
    <t>10.3390/microorganisms10010074</t>
  </si>
  <si>
    <t>Barman, Haripriya; Roy, Sankar Kumar; Sakalauskas, Leonidas; Weber, Gerhard-Wilhelm</t>
  </si>
  <si>
    <t>Inventory model involving reworking of faulty products with three carbon policies under neutrosophic environment</t>
  </si>
  <si>
    <t>[Barman, Haripriya; Roy, Sankar Kumar] Vidyasagar Univ, Dept Appl Math Oceanol &amp; Comp Programming, Midnapore 721102, West Bengal, India; [Sakalauskas, Leonidas] Vilnius Gediminas Tech Univ, Fac Fundamental Sci, Dept Informat Technol, LT-2040 Vilnius, Lithuania; [Weber, Gerhard-Wilhelm] Poznan Univ Tech, Fac Engn &amp; Management, Poznan, Poland; [Weber, Gerhard-Wilhelm] IAM UME, METU, Ankara, Turkiye</t>
  </si>
  <si>
    <t>Vidyasagar University; Vilnius Gediminas Technical University; Poznan University of Technology</t>
  </si>
  <si>
    <t>Barman, H (corresponding author), Vidyasagar Univ, Dept Appl Math Oceanol &amp; Comp Programming, Midnapore 721102, West Bengal, India.</t>
  </si>
  <si>
    <t>10.1016/j.aei.2023.102081</t>
  </si>
  <si>
    <t>Najar, IN; Sharma, P; Das, R; Tamang, S; Mondal, K; Thakur, N; Gandhi, SG; Kumar, V</t>
  </si>
  <si>
    <t>Najar, Ishfaq Nabi; Sharma, Prayatna; Das, Rohit; Tamang, Sonia; Mondal, Krishnendu; Thakur, Nagendra; Gandhi, Sumit G.; Kumar, Vinod</t>
  </si>
  <si>
    <t>From waste management to circular economy: Leveraging thermophiles for sustainable growth and global resource optimization</t>
  </si>
  <si>
    <t>Bio-circular economy; Sustainable growth; Thermophiles; Valorization; Waste management</t>
  </si>
  <si>
    <t>LACTIC ACID PRODUCTION; LIFE-CYCLE ASSESSMENT; BIO-BASED PRODUCTION; FOOD WASTE; ANAEROBIC-DIGESTION; BETA-GALACTOSIDASE; CRUDE GLYCEROL; ENVIRONMENTAL IMPACTS; MICROBIAL CONVERSION; BIODIESEL PRODUCTION</t>
  </si>
  <si>
    <t>Waste of any origin is one of the most serious global and man-made concerns of our day. It causes climate change, environmental degradation, and human health problems. Proper waste management practices, including waste reduction, safe handling, and appropriate treatment, are essential to mitigate these consequences. It is thus essential to implement effective waste management strategies that reduce waste at the source, promote recycling and reuse, and safely dispose of waste. Transitioning to a circular economy with policies involving governments, industries, and individuals is essential for sustainable growth and waste management. The review focuses on diverse kinds of environmental waste sources around the world, such as residential, industrial, commercial, municipal services, electronic wastes, wastewater sewerage, and agricultural wastes, and their challenges in efficiently valorizing them into useful products. It highlights the need for rational waste management, circularity, and sustainable growth, and the potential of a circular economy to address these challenges. The article has explored the role of thermophilic microbes in the bioremediation of waste. Thermophiles known for their thermostability and thermostable enzymes, have emerged to have diverse applications in biotechnology and various industrial processes. Several approaches have been explored to unlock the potential of thermophiles in achieving the objective of establishing a zero-carbon sustainable bio-economy and minimizing waste generation. Various thermophiles have demonstrated substantial potential in addressing different waste challenges. The review findings affirm that thermophilic microbes have emerged as pivotal and indispensable candidates for harnessing and valorizing a range of environmental wastes into valuable products, thereby fostering the biocircular economy.</t>
  </si>
  <si>
    <t>[Najar, Ishfaq Nabi; Kumar, Vinod] CSIR IIIM, Fermentat &amp; Microbial Biotechnol Div, Jammu, India; [Sharma, Prayatna; Das, Rohit; Tamang, Sonia; Thakur, Nagendra] Sikkim Univ, Sch Life Sci, Dept Microbiol, Gangtok 737102, Sikkim, India; [Mondal, Krishnendu] Vidyasagar Univ, Dept Microbiol, Midnapore, India; [Gandhi, Sumit G.] CSIR IIIM, Infect Dis Div, Jammu, India</t>
  </si>
  <si>
    <t>Council of Scientific &amp; Industrial Research (CSIR) - India; CSIR - Indian Institute of Integrative Medicine (IIIM); Sikkim University; Vidyasagar University; Council of Scientific &amp; Industrial Research (CSIR) - India; CSIR - Indian Institute of Integrative Medicine (IIIM)</t>
  </si>
  <si>
    <t>Kumar, V (corresponding author), CSIR IIIM, Fermentat &amp; Microbial Biotechnol Div, Jammu, India.</t>
  </si>
  <si>
    <t>10.1016/j.jenvman.2024.121136</t>
  </si>
  <si>
    <t>Ghosh, Kausik; Munoz-Arriola, Francisco</t>
  </si>
  <si>
    <t>Hysteresis and streamflow-sediment relations across the pre-to-post dam construction continuum in a highly regulated transboundary Himalayan River basin</t>
  </si>
  <si>
    <t>JOURNAL OF HYDROLOGY</t>
  </si>
  <si>
    <t>[Ghosh, Kausik] Vidyasagar Univ, Dept Geog, Midnapore, India; [Ghosh, Kausik; Munoz-Arriola, Francisco] Univ Nebraska Lincoln, Dept Biol Syst Engn, Lincoln, NE USA; [Munoz-Arriola, Francisco] Univ Nebraska Lincoln, Sch Nat Resources, Lincoln, NE USA</t>
  </si>
  <si>
    <t>Vidyasagar University; University of Nebraska System; University of Nebraska Lincoln; University of Nebraska System; University of Nebraska Lincoln</t>
  </si>
  <si>
    <t>0022-1694</t>
  </si>
  <si>
    <t>1879-2707</t>
  </si>
  <si>
    <t>10.1016/j.jhydrol.2023.129885</t>
  </si>
  <si>
    <t>Engineering, Civil; Geosciences, Multidisciplinary; Water Resources</t>
  </si>
  <si>
    <t>Engineering; Geology; Water Resources</t>
  </si>
  <si>
    <t>Pal, Sova; Dutta, Prasanta; Khan, Indadul; Pramanik, Prasenjit; Maiti, Ajoy Kumar; Maiti, Manas Kumar</t>
  </si>
  <si>
    <t>Coordination of Cyclic crossover and Bat Algorithm for the Travelling Salesman Problems in Different Environments: A Simulation Approach</t>
  </si>
  <si>
    <t>INTERNATIONAL JOURNAL OF UNCERTAINTY FUZZINESS AND KNOWLEDGE-BASED SYSTEMS</t>
  </si>
  <si>
    <t>[Pal, Sova] Yogoda Satsanga Palpara Mahavidyalaya, Dept Comp Sci, Purba Medinipur 721458, West Bengal, India; [Dutta, Prasanta] Debra Thana SSK MV, Dept Comp Sci, Paschim Medinipur, West Bengal, India; [Khan, Indadul] Chandrakon Vidyasagar Mahavidyalaya, Dept Comp Sci, Paschim Medinipur 721201, West Bengal, India; [Pramanik, Prasenjit] Vidyasagar Univ, Dept Appl Mathemat Oceanol &amp; Comp Programming, Midnapore 721102, West Bengal, India; [Maiti, Ajoy Kumar] Raja Narendra Lal Khan Womens Coll, Dept Math, Midnapore 721102, West Bengal, India; [Maiti, Manas Kumar] Mahishadal Raj Coll, Dept Math, Purba Medinipur 721628, West Bengal, India</t>
  </si>
  <si>
    <t>Dutta, P (corresponding author), Debra Thana SSK MV, Dept Comp Sci, Paschim Medinipur, West Bengal, India.</t>
  </si>
  <si>
    <t>0218-4885</t>
  </si>
  <si>
    <t>1793-6411</t>
  </si>
  <si>
    <t>INT J UNCERTAIN FUZZ</t>
  </si>
  <si>
    <t>Int. J. Uncertainty Fuzziness Knowl.-Based Syst.</t>
  </si>
  <si>
    <t>10.1142/S0218488523500447</t>
  </si>
  <si>
    <t>Palanikumar, M.; Jana, Chiranjibe; Al-Shanqiti, Omaima; Pal, Madhumangal</t>
  </si>
  <si>
    <t>A Novel Method for Generating the M-Tri-Basis of an Ordered G-Semigroup</t>
  </si>
  <si>
    <t>[Palanikumar, M.] Saveetha Inst Med &amp; Tech Sci, Saveetha Sch Engn, Chennai 602105, India; [Jana, Chiranjibe; Pal, Madhumangal] Vidyasagar Univ, Dept Appl Math Oceanol &amp; Comp Programming, Midnapore 721102, India; [Al-Shanqiti, Omaima] Umm Al Qura Univ, Dept Appl Sci, PO Box 24341, Mecca, Saudi Arabia</t>
  </si>
  <si>
    <t>Saveetha Institute of Medical &amp; Technical Science; Saveetha School of Engineering; Vidyasagar University; Umm Al Qura University</t>
  </si>
  <si>
    <t>10.3390/math11040893</t>
  </si>
  <si>
    <t>Das, S; Karmakar, P; Banu, AS; Sarkar, S; Ali, A; Jana, RN</t>
  </si>
  <si>
    <t>Das, Sanatan; Karmakar, Poly; Banu, Ayesha Siddika; Sarkar, Soumitra; Ali, Asgar; Jana, Rabindra Nath</t>
  </si>
  <si>
    <t>Modeling temporal dynamics of a radiant Casson fluid near a steeped plate emitting heat and mass fluxes</t>
  </si>
  <si>
    <t>FREE-CONVECTION FLOW; VERTICAL POROUS PLATE; THERMAL-RADIATION; VISCOSITY; BUOYANCY; SURFACE</t>
  </si>
  <si>
    <t>In today's rapidly advancing world, more deliberate development and implementation of energy-efficient thermal management systems is emergent. In industrial and engineering contexts, the regulation of heat and mass transfer phenomena is heavily swayed by factors such as heat and mass fluxes, and wall temperature, and concentration levels. In cryogenic containers, understanding heat flux and wall temperature is essential for maintaining ultra-low temperatures over extended periods. In this context, our paper embarks on modeling the transient dynamics of a radiant Casson fluid adjacent to a steeped plate, which is featured by its emission of both heat and mass fluxes. The plate is under two thermal conditions, namely uniform wall temperature (UWT) and uniform heat flux (UHF), which are crucial in modulating both upward and downward heat transport processes. The Laplace transform (LT) technique yields close-form solutions for the model's governing equations. The distribution of flow and salient physical quantities are graphed and elucidated in response to intricate physical parameters. A comparative graphical analysis of UWT and UHF scenarios reveals stark differences. Notably, the fluid's flow rate appears considerably amplified in the UWT scenario compared to the UHF one. Furthermore, the UHF setting profoundly influences the heat and mass transportation within the fluid's flow realm. A pronounced Casson parameter tends to thin out the velocity profile. Concurrently, a heightened radiation parameter results in a reduction in fluid temperature. The theoretical framework explored in our study is not just an academic exercise but holds tangible applicability across varied sectors. This spans from rocket chamber cooling, where fine-tuned heat flux conditions are paramount for safeguarding operations, to industries like cosmetics and food processing, which demand meticulous thermal regulation to ensure product excellence.</t>
  </si>
  <si>
    <t>[Das, Sanatan; Banu, Ayesha Siddika] Univ Gour Banga, Dept Math, Malda 732103, West Bengal, India; [Karmakar, Poly] Gour Mahavidyalaya, Dept Math, Malda, West Bengal, India; [Sarkar, Soumitra] Triveni Devi Bhalotia Coll, Dept Math, Paschim Bardhaman, West Bengal, India; [Ali, Asgar] Bajkul Milani Mahavidyalaya, Dept Math, Purba Medinipur, West Bengal, India; [Jana, Rabindra Nath] Vidyasagar Univ, Dept Appl Math, Midnapore, West Bengal, India</t>
  </si>
  <si>
    <t>Das, S (corresponding author), Univ Gour Banga, Dept Math, Malda 732103, West Bengal, India.</t>
  </si>
  <si>
    <t>10.1002/zamm.202300940</t>
  </si>
  <si>
    <t>Roy, K; Barman, K; Singh, SK; Debnath, K</t>
  </si>
  <si>
    <t>Roy, Kapil; Barman, Krishnendu; Singh, Santosh Kumar; Debnath, Koustuv</t>
  </si>
  <si>
    <t>Turbulence phenomena due to pure wave over the submerged horizontal cylinder</t>
  </si>
  <si>
    <t>Turbulence; Circular cylinder; Oscillatory flow; Bursting events; Spectral analysis</t>
  </si>
  <si>
    <t>REYNOLDS STRESS; PIPELINE CONSTRUCTION; CIRCULAR-CYLINDER; OSCILLATORY FLOW; BOUNDARY; VELOCITY; STATISTICS; SIMULATION; WAKE; WALL</t>
  </si>
  <si>
    <t>Detailed investigation of turbulence flow characteristics due to mechanically generated regular water waves over a submerged cylinder is carried out. Regular waves are generated by a wave maker driven at three different frequencies. Prolonged measurements of the temporal variation in the instantaneous velocity in all three directions were carried out at multiple locations downstream of the cylinder. Particular attention is given to the change in flow characteristics downstream of the cylinder as a result of interaction of the surface wave and bottom mounted cylinder (radius, R = 2.5, 3.75, and 5.5 cm). The resulting flow field is studied in detail using quadrant and velocity spectra analysis. The results show that contributions to the total shear stress from ejection and sweep are prominent for the entire region. Furthermore, the probability density function is determined to describe the instantaneous turbulent velocity signal, which demonstrates a bimodal nature for bottom-normal velocity fluctuations and a sharp distribution for stream-wise velocity fluctuations. Power spectral density shows that the power spectral peak of surface wave is effectively reduced for both stream-wise and vertical velocities. In coastal zones, pipelines of cylindrical cross section are the most dependable and secure, economical, and efficient means of continually transporting natural gas and oil and this study will help in the improved design and implementation of such submarine pipelines.</t>
  </si>
  <si>
    <t>[Roy, Kapil; Barman, Krishnendu] Vidyasagar Univ, Dept Appl Math Oceanol &amp; Comp Programming, Midnapore 721102, India; [Singh, Santosh Kumar] SRM Inst Sci &amp; Technol, Dept Mech Engn, Kattankulathur 603203, Tamil Nadu, India; [Debnath, Koustuv] Indian Inst Engn Sci &amp; Technol IIEST, Dept Aerosp Engn &amp; Appl Mech, Shibpur, Howrah 711103, India</t>
  </si>
  <si>
    <t>Vidyasagar University; SRM Institute of Science &amp; Technology Chennai</t>
  </si>
  <si>
    <t>10.1007/s40430-024-05083-7</t>
  </si>
  <si>
    <t>Goswami, D; Mondal, S; Hor, PK; Hor, PK; Santra, S; Jana, H; Gauri, SS; Halder, SK; Mondal, KC</t>
  </si>
  <si>
    <t>Goswami, Debabrata; Mondal, Subhadeep; Hor, Papan Kumar; Santra, Sourav; Jana, Harekrishna; Gauri, Samiran Sona; Halder, Suman Kumar; Mondal, Keshab Chandra; Mondal, Keshab Chandra</t>
  </si>
  <si>
    <t>Bioprospecting of probiotic bacteria from traditional food of high-altitude Himalayan region</t>
  </si>
  <si>
    <t>FOOD BIOSCIENCE</t>
  </si>
  <si>
    <t>Himalayan food; Probiotic; Bacteriocin; Antimicrobial activity; Antioxidant activity</t>
  </si>
  <si>
    <t>LACTOBACILLUS-PLANTARUM; ANTIMICROBIAL PEPTIDES; URINARY-TRACT; PURIFICATION; STRAIN; IDENTIFICATION; ANTIOXIDANT; RESISTANCE; MICROBIOTA; MODE</t>
  </si>
  <si>
    <t>Bioprospecting of novel probiotic strains from traditional food (Chhurpi) of high-altitude areas of the Himalayan region was undertaken in this study. A group of lactic acid bacteria were isolated from cottage cheese, their cumulative probiotic score was compared, and one potent bacterium was identified as Pediococcus pentosaceus BAC L7. The selected strain synthesized a bacteriocin (pediocin) having molecular weight of 4.178 kDa. Along with thermostability, its stability in presence of acid, trypsin, lysozyme and in simulated gastro-intestinal condition was documented. Production of pediocin was maximum (28,147 AU/ml) at the logarithmic phase of growth. The peptide showed strong antimicrobial effect against Enterococcus faecalis, Salmonella typhi, Escherichia coli, Staphylococcus aureus, Pseudomonas aeruginosa, Klebsiella pneumoniae, Shigella dysenteriae and Candida albicans. The selected strain exhibited strong in-vitro antioxidant activity and was experimentally demonstrated as safe. Thus, the newly explored probiotics will be an effective natural therapeutic against gastroenteritis, a common malady at high altitude.</t>
  </si>
  <si>
    <t>[Goswami, Debabrata; Santra, Sourav; Jana, Harekrishna; Mondal, Keshab Chandra; Mondal, Keshab Chandra] Vidyasagar Univ, Dept Microbiol, Midnapore 721102, W Bengal, India; [Mondal, Subhadeep] Vidyasagar Univ, Ctr Life Sci, Midnapore 721102, W Bengal, India; [Gauri, Samiran Sona] RNLK Womens Coll, Dept Microbiol, Midnapore 721102, W Bengal, India; [Halder, Suman Kumar] IIT Kharagpur, Cent Res Facil, Kharagpur 721302, W Bengal, India</t>
  </si>
  <si>
    <t>Vidyasagar University; Vidyasagar University; Indian Institute of Technology System (IIT System); Indian Institute of Technology (IIT) - Kharagpur</t>
  </si>
  <si>
    <t>Halder, SK (corresponding author), Vidyasagar Univ, Dept Microbiol, Midnapore 721102, W Bengal, India.</t>
  </si>
  <si>
    <t>2212-4292</t>
  </si>
  <si>
    <t>2212-4306</t>
  </si>
  <si>
    <t>10.1016/j.fbio.2023.103257</t>
  </si>
  <si>
    <t>Datta, K; Jana, B; Singh, PK; Chakraborty, MD</t>
  </si>
  <si>
    <t>Datta, Kankana; Jana, Biswapati; Singh, Prabhash Kumar; Chakraborty, Mamata Dalui</t>
  </si>
  <si>
    <t>Robust data hiding scheme for highly compressed image exploiting btc with hamming code</t>
  </si>
  <si>
    <t>Data hiding; Hamming error correcting code; Even parity; Vertical redundancy checking; Block truncation coding; Image compression; Secret message</t>
  </si>
  <si>
    <t>Compression techniques can be used on digital content to minimize duplication and maintain internet traffic, while ensuring the quality of the decoded object. Two functionalities such as data concealing and images compression can be combined into a single module, reducing the risk of responder attacks while improving execution efficacy. This study exploits Block Truncation Coding (BTC) with (7, 4) Hamming error correction and detection code to render a robust data hiding policy within highly compressed images. To compress the host image, BTC has been utilized which divides the image into (4 x 4) blocks. These blocks are categorized into two groups namely complex and smooth, based on threshold value where each smooth block accommodate two secret data bits encoded in it employing (7, 4) Hamming code whereas complex block remain unaltered. On the other hand, the Vertical Redundancy Check (V RC) approach greatly aids in determining the location of the hidden message bit. The cover or host image can be partially recovered due to the lossy property of BTC image compression scheme. To test its robustness and imperceptibility, several standard NIST approved steganalysis and statistical attacks are carried out. The developed technique is found to be secure and strong against a variety of geometrical attacks. The virtues of the proposed scheme are presented by comparing experimental results to the state-of-the-art schemes. The anticipated consequence highlighted certain outstanding magnificent aspects in the fields of verification of image, tamper recognition, and digital forgery sensing, all of which are essential to the contemporary technological life. This scheme benefits a wide range of government and business sectors, as well as health care, security, intellectual property rights, commercial and defense.</t>
  </si>
  <si>
    <t>[Datta, Kankana] Dept Comp Applicat, Haldia Inst Technol HIT Campus, Purba Medinipur, W Bengal, India; [Jana, Biswapati; Singh, Prabhash Kumar] Vidyasagar Univ, Dept Comp Sci, Midnapore, W Bengal, India; [Chakraborty, Mamata Dalui] Natl Inst Technol, Dept Comp Sci &amp; Engn, Durgapur, W Bengal, India</t>
  </si>
  <si>
    <t>10.1007/s11042-023-15727-w</t>
  </si>
  <si>
    <t>Mandal, Pintu; Maiti, Arabinda; Paul, Sayantani; Bhattacharya, Subhasis; Paul, Suman</t>
  </si>
  <si>
    <t>Mapping the multi-hazards risk index for coastal block of Sundarban, India using AHP and machine learning algorithms</t>
  </si>
  <si>
    <t>TROPICAL CYCLONE RESEARCH AND REVIEW</t>
  </si>
  <si>
    <t>[Mandal, Pintu; Paul, Suman] Sidho Kanho Birsha Univ, Dept Geog, Purulia, WB, India; [Maiti, Arabinda] Vidyasagar Univ, Dept Geog, Medinipur, WB, India; [Paul, Sayantani] Calcutta Univ, Dept Econ, Kolkata, WB, India; [Bhattacharya, Subhasis] Sidho Kanho Birsha Univ, Dept Econ, Purulia, WB, India</t>
  </si>
  <si>
    <t>Paul, S (corresponding author), Sidho Kanho Birsha Univ, Dept Geog, Purulia, WB, India.</t>
  </si>
  <si>
    <t>2225-6032</t>
  </si>
  <si>
    <t>10.1016/j.tcrr.2023.03.001</t>
  </si>
  <si>
    <t>Raul, P; Begum, Y; Tripathi, S; Karmakar, M; Guchhait, KC; Dey, S; Majumder, S; Mondal, SK; Panda, AK; Ghosh, C</t>
  </si>
  <si>
    <t>Raul, Priyanka; Begum, Yasmin; Tripathi, Sandipa; Karmakar, Monalisha; Guchhait, Kartik Chandra; Dey, Subhamoy; Majumder, Suparna; Mondal, Sunil Kanti; Panda, Amiya Kumar; Ghosh, Chandradipa</t>
  </si>
  <si>
    <t>Comprehensive in silico studies on the microbial enzymes capable of degrading organophosphorus pesticide</t>
  </si>
  <si>
    <t>INTERNATIONAL BIODETERIORATION &amp; BIODEGRADATION</t>
  </si>
  <si>
    <t>Phorate; Alkaline phosphatase; Phosphatase; Codon usage bias; Molecular docking; Microbial biodegradation</t>
  </si>
  <si>
    <t>CODON USAGE BIAS; PHORATE; BIOREMEDIATION; SOIL; ADAPTATION</t>
  </si>
  <si>
    <t>Phorate, an organophosphorus compound is known to have applications against pests. However, its hazardous nature is a matter of concern. Microbial biodegradation is a potent method that can eliminate pesticides from the environment by enzymatic reactions. As toxicity and binding specificity are inherently correlated to each other, this study was focussed on finding out binding sites for ensuing biodegradation. Brevibacterium frigoritolerans GD44 and Enterobacter cloacae subsp. cloacae ATCC 13047 were included in the study for genomic and structural analyses as alkaline phosphatase from Brevibacterium frigoritolerans GD44 and endonuclease/exonuclease/ phosphatase from Enterobacter cloacae subsp. cloacae ATCC 13047 were found to degrade phorate. It was apparent from the present findings that alkaline phosphatase containing homologous bacterial species are ATrich, while the phosphatase containing bacteria are GC-rich. Bacterial species having phosphatase enzyme contain more aromatic amino acids that stabilize the protein structure than alkaline phosphatase containing bacteria. Variation of relative synonymous codon usage (RSCU) value was found to be very little and natural selection pressure was preferred over mutational pressure in determining codon usage pattern. High level of codon adaptation index (CAI) found in both the bacterial species indicates higher level of codon usage bias and gene expression in them. Furthermore, docking results suggest that alkaline phosphatase has higher binding affinity to phorate than phosphatase that might be considered effective in bioremediation. The results obtained are considered to shed further light in the experimental biodegradation of organophosphorus pesticides by the bacteria.</t>
  </si>
  <si>
    <t>[Raul, Priyanka; Tripathi, Sandipa; Dey, Subhamoy] Vidyasagar Univ, Ctr Life Sci, Midnapore 721102, West Bengal, India; [Raul, Priyanka; Tripathi, Sandipa; Karmakar, Monalisha; Guchhait, Kartik Chandra; Dey, Subhamoy; Majumder, Suparna; Ghosh, Chandradipa] Vidyasagar Univ, Dept Human Physiol, Midnapore 721102, West Bengal, India; [Begum, Yasmin] Univ Calcutta, Dept Biophys Mol Biol &amp; Bioinformat, Kolkata 700009, India; [Begum, Yasmin] Univ Calcutta, Ctr Excellence Syst Biol &amp; Biomed Engn TEQIP Phase, Kolkata 700064, India; [Mondal, Sunil Kanti] Univ Burdwan, Dept Biotechnol, Burdwan 713104, West Bengal, India; [Panda, Amiya Kumar] Vidyasagar Univ, Dept Chem, Midnapore 721102, West Bengal, India</t>
  </si>
  <si>
    <t>Vidyasagar University; Vidyasagar University; University of Calcutta; University of Calcutta; University of Burdwan; Vidyasagar University</t>
  </si>
  <si>
    <t>0964-8305</t>
  </si>
  <si>
    <t>1879-0208</t>
  </si>
  <si>
    <t>10.1016/j.ibiod.2024.105907</t>
  </si>
  <si>
    <t>Biotechnology &amp; Applied Microbiology; Environmental Sciences</t>
  </si>
  <si>
    <t>Biotechnology &amp; Applied Microbiology; Environmental Sciences &amp; Ecology</t>
  </si>
  <si>
    <t>Two-layers robust data hiding scheme for highly compressed image exploiting AMBTC with difference expansion</t>
  </si>
  <si>
    <t>[Datta, Kankana] Haldia Inst Technol, Dept Comp Applicat, HIT Campus, Hatiberia, West Bengal, India; [Jana, Biswapati] Vidyasagar Univ Midnapore, Dept Comp Sci, Midnapore, West Bengal, India; [Chakraborty, Mamata Dalui] Natl Inst Technol, Dept Comp Sci &amp; Engn, Durgapur, West Bengal, India</t>
  </si>
  <si>
    <t>Jana, B (corresponding author), Vidyasagar Univ Midnapore, Dept Comp Sci, Midnapore, West Bengal, India.</t>
  </si>
  <si>
    <t>10.1016/j.jksuci.2022.05.013</t>
  </si>
  <si>
    <t>Paul, S; Amanathulla, SK; Pal, M; Pal, A</t>
  </si>
  <si>
    <t>Paul, S.; Amanathulla, S. K.; Pal, M.; Pal, A.</t>
  </si>
  <si>
    <t>L(2,1)-LABELING OF TRAPEZOID GRAPHS</t>
  </si>
  <si>
    <t>Frequency assignment; L(2,1)-labeling; trapezoid graphs</t>
  </si>
  <si>
    <t>LABELING GRAPHS; COLORINGS</t>
  </si>
  <si>
    <t>An L(2, 1) (L21L) of a graph G = (V, E) is an assignment f from the node-set V to the set {0, 1, 2, 3, . . .} so that adjoining nodes get numbers at least two apart, and nodes at distance two get different numbers. The L21L number lambda(2,1)(G) is the difference between the greatest and least label used in the labeling process. In this paper, we have proved that, for a trapezoid graph (TG) G, the upper bound of lambda(2,1)(G) &lt;= 5 Delta - 4, where Delta is the maximum degree of the graph G. This paper also provides L21L of a simple triangle graph, a subclass of TG. We have shown that for a simple triangle graph, the upper bound of lambda(2,1)(G) is 4 Delta.</t>
  </si>
  <si>
    <t>[Paul, S.; Pal, M.] Vidyasagar Univ, Dept Appl Math Oceanol &amp; Comp Programming, Midnapore 721102, India; [Amanathulla, S. K.] Raghunathpur Coll, Dept Math, Raghunathpur 723121, India; [Pal, A.] Natl Inst Technol Durgapur, Dept Math, Durgapur 713209, India</t>
  </si>
  <si>
    <t>Vidyasagar University; National Institute of Technology (NIT System); National Institute of Technology Durgapur</t>
  </si>
  <si>
    <t>Amanathulla, SK (corresponding author), Raghunathpur Coll, Dept Math, Raghunathpur 723121, India.</t>
  </si>
  <si>
    <t>Layek, Ujjwal; Midday, Mrinmoy; Bisui, Sourabh; Kundu, Arijit; Karmakar, Prakash</t>
  </si>
  <si>
    <t>Floral biology, breeding system and pollination ecology of Justicia betonica L. (Acanthaceae): An assessment of its low reproductive success in West Bengal, India</t>
  </si>
  <si>
    <t>PLANT SPECIES BIOLOGY</t>
  </si>
  <si>
    <t>[Layek, Ujjwal] Rampurhat Coll, Dept Bot, Birbhum, India; [Midday, Mrinmoy] Univ Calcutta, Dept Bot, 35 Ballygunge Circular Rd, Kolkata, India; [Bisui, Sourabh; Kundu, Arijit; Karmakar, Prakash] Vidyasagar Univ, Dept Bot &amp; Forestry, Midnapore 721102, India</t>
  </si>
  <si>
    <t>University of Calcutta; Vidyasagar University</t>
  </si>
  <si>
    <t>0913-557X</t>
  </si>
  <si>
    <t>1442-1984</t>
  </si>
  <si>
    <t>10.1111/1442-1984.12380</t>
  </si>
  <si>
    <t>Plant Sciences; Ecology</t>
  </si>
  <si>
    <t>Plant Sciences; Environmental Sciences &amp; Ecology</t>
  </si>
  <si>
    <t>Ghosh, Abhishek; Dey, Priyanka; Ghosh, Tirthankar</t>
  </si>
  <si>
    <t>Integration of RS-GIS with Frequency Ratio, Fuzzy Logic, Logistic Regression and Decision Tree Models for Flood Susceptibility Prediction in Lower Gangetic Plain: A Study on Malda District of West Bengal, India</t>
  </si>
  <si>
    <t>[Ghosh, Abhishek] Vidyasagar Univ, Dept Geog, Midnapore 721102, W Bengal, India; [Dey, Priyanka] Visva Bharati, Dept Geog, Santini Ketan, W Bengal, India; [Dey, Priyanka] NEHU, Shillong, Meghalaya, India; [Ghosh, Tirthankar] Visva Bharati Univ, Dept Stat, Santini Ketan, W Bengal, India</t>
  </si>
  <si>
    <t>Vidyasagar University; Visva Bharati University; North Eastern Hill University; Visva Bharati University</t>
  </si>
  <si>
    <t>Ghosh, A (corresponding author), Vidyasagar Univ, Dept Geog, Midnapore 721102, W Bengal, India.</t>
  </si>
  <si>
    <t>10.1007/s12524-022-01560-5</t>
  </si>
  <si>
    <t>Ghosh, Pritam; Rohatgi, Pratima; Bose, Kaushik</t>
  </si>
  <si>
    <t>Determinants of time-trends in exclusivity and continuation of breastfeeding in India: An investigation from the National Family Health Survey</t>
  </si>
  <si>
    <t>SOCIAL SCIENCE &amp; MEDICINE</t>
  </si>
  <si>
    <t>[Ghosh, Pritam; Rohatgi, Pratima] Univ Calcutta, Dept Geog, 35 Ballygunge Circular Rd, Kolkata 700019, W Bengal, India; [Ghosh, Pritam] Ramsaday Coll, Dept Geog, Howrah 711401, W Bengal, India; [Bose, Kaushik] Vidyasagar Univ, Dept Anthropol, Midnapore, W Bengal, India</t>
  </si>
  <si>
    <t>Bose, K (corresponding author), Vidyasagar Univ, Dept Anthropol, Midnapore, W Bengal, India.</t>
  </si>
  <si>
    <t>0277-9536</t>
  </si>
  <si>
    <t>1873-5347</t>
  </si>
  <si>
    <t>10.1016/j.socscimed.2021.114604</t>
  </si>
  <si>
    <t>Public, Environmental &amp; Occupational Health; Social Sciences, Biomedical</t>
  </si>
  <si>
    <t>Public, Environmental &amp; Occupational Health; Biomedical Social Sciences</t>
  </si>
  <si>
    <t>Maji, Somnath; Pradhan, Kunal; Maity, Samir; Nielsen, Izabela Ewa; Giri, Debasis; Maiti, Manoranjan</t>
  </si>
  <si>
    <t>Multipath traveling purchaser problem with time-dependent market structure using quantum-inspired variable length genetic algorithm</t>
  </si>
  <si>
    <t>[Maji, Somnath] Maulana Abul Kalam Azad Univ Technol, Dept Comp Sci &amp; Engn, NH-12, Haringhata 741249, West Bengal, India; [Pradhan, Kunal] Tezpur Univ, Dept Comp Sci &amp; Engn, Tezpur 784028, India; [Maity, Samir; Nielsen, Izabela Ewa] Aalborg Univ, Dept Mat &amp; Prod, Operat Res Grp, DK-9220 Aalborg, Denmark; [Giri, Debasis] Maulana Abul Kalam Azad Univ Technol, Dept Informat Technol, NH-12, Nadia 741249, West Bengal, India; [Maiti, Manoranjan] Vidyasagar Univ, Dept Appl Math, Medinipur 721102, India</t>
  </si>
  <si>
    <t>Maulana Abul Kalam Azad University of Technology; Tezpur University; Aalborg University; Maulana Abul Kalam Azad University of Technology; Vidyasagar University</t>
  </si>
  <si>
    <t>Maji, S (corresponding author), Maulana Abul Kalam Azad Univ Technol, Dept Comp Sci &amp; Engn, NH-12, Haringhata 741249, West Bengal, India.</t>
  </si>
  <si>
    <t>10.1016/j.cie.2023.109710</t>
  </si>
  <si>
    <t>Dey, Subhamoy; Guchhait, Kartik Chandra; Manna, Tuhin; Panda, Amiya Kumar; Patra, Anuttam; Mondal, Sunil Kanti; Ghosh, Chandradipa</t>
  </si>
  <si>
    <t>Evolutionary and compositional analysis of streptokinase including its interaction with plasminogen: An in silico approach</t>
  </si>
  <si>
    <t>GENE REPORTS</t>
  </si>
  <si>
    <t>[Dey, Subhamoy; Guchhait, Kartik Chandra; Manna, Tuhin; Ghosh, Chandradipa] Vidyasagar Univ, Dept Human Physiol, Midnapore 721102, West Bengal, India; [Panda, Amiya Kumar] Vidyasagar Univ, Dept Chem, Midnapore 721102, West Bengal, India; [Panda, Amiya Kumar] Sadhu Ram Chand Murmu Univ Jhargram, Jhargram 721507, West Bengal, India; [Patra, Anuttam] Lulea Univ Technol, Chem Interfaces Grp, S-97187 Lulea, Sweden; [Mondal, Sunil Kanti] Univ Burdwan, Dept Biotechnol, Burdwan 713104, West Bengal, India</t>
  </si>
  <si>
    <t>Vidyasagar University; Vidyasagar University; Lulea University of Technology; University of Burdwan</t>
  </si>
  <si>
    <t>Ghosh, C (corresponding author), Vidyasagar Univ, Dept Human Physiol, Midnapore 721102, West Bengal, India.;Mondal, SK (corresponding author), Univ Burdwan, Dept Biotechnol, Burdwan 713104, West Bengal, India.</t>
  </si>
  <si>
    <t>2452-0144</t>
  </si>
  <si>
    <t>GENE REP</t>
  </si>
  <si>
    <t>Gene Rep.</t>
  </si>
  <si>
    <t>10.1016/j.genrep.2022.101689</t>
  </si>
  <si>
    <t>Mishra, Vishnu; Singh, Archita; Gandhi, Nidhi; Das, Shabari Sarkar; Yadav, Sandeep; Kumar, Ashutosh; Sarkar, Ananda K.</t>
  </si>
  <si>
    <t>A unique miR775-GALT9 module regulates leaf senescence in Arabidopsis during post-submergence recovery by modulating ethylene and the abscisic acid pathway</t>
  </si>
  <si>
    <t>DEVELOPMENT</t>
  </si>
  <si>
    <t>[Mishra, Vishnu; Singh, Archita; Gandhi, Nidhi; Yadav, Sandeep; Kumar, Ashutosh; Sarkar, Ananda K.] Natl Inst Plant Genome Res, Aruna Asaf Ali Marg, New Delhi 110067, India; [Singh, Archita; Das, Shabari Sarkar; Sarkar, Ananda K.] Jawaharlal Nehru Univ, Sch Life Sci, New Delhi 110067, India; [Das, Shabari Sarkar] Vidyasagar Univ, Dept Bot &amp; Forestry, Midnapore 721104, W Bengal, India</t>
  </si>
  <si>
    <t>Department of Biotechnology (DBT) India; National Institute of Plant Genome Research (NIPGR); Jawaharlal Nehru University, New Delhi; Vidyasagar University</t>
  </si>
  <si>
    <t>Sarkar, AK (corresponding author), Natl Inst Plant Genome Res, Aruna Asaf Ali Marg, New Delhi 110067, India.;Sarkar, AK (corresponding author), Jawaharlal Nehru Univ, Sch Life Sci, New Delhi 110067, India.</t>
  </si>
  <si>
    <t>COMPANY BIOLOGISTS LTD</t>
  </si>
  <si>
    <t>BIDDER BUILDING, STATION RD, HISTON, CAMBRIDGE CB24 9LF, ENGLAND</t>
  </si>
  <si>
    <t>0950-1991</t>
  </si>
  <si>
    <t>1477-9129</t>
  </si>
  <si>
    <t>Development</t>
  </si>
  <si>
    <t>10.1242/dev.199974</t>
  </si>
  <si>
    <t>Developmental Biology</t>
  </si>
  <si>
    <t>Bathusha, SNS; Ghorai, G; Mahamud, M; Raj, SAK</t>
  </si>
  <si>
    <t>Bathusha, S. N. Suber; Ghorai, Ganesh; Mahamud, Mufti; Raj, S. Angelin Kavitha</t>
  </si>
  <si>
    <t>On signless Laplacian energy of inverse dominating complex interval-valued q-rung orthopair fuzzy graph with application</t>
  </si>
  <si>
    <t>Complex interval-valued q-rung orthopair fuzzy graph structure; mu(J)-inverse dominating; Energy and signless Laplacian energy; Applications</t>
  </si>
  <si>
    <t>The Complex Interval-Valued q-Rung Orthopair Fuzzy Set (CIVq-RungFS), is a generalization of Complex Interval-Valued Intuitionistic Fuzzy Set (CIVIFS) and Complex Interval-Valued Pythagorean Fuzzy Set. It provides a flexible model for expressing uncertainty and vagueness through the interval-valued truth and falsity grades. It is composed of both complex interval-valued membership and complex interval-valued non-membership degrees, adhering to the axioms that 0 &lt;=(nu(+)(M1)(p))(q)+(nu(+)(M2)(p))(q )&lt;= 1, 0 &lt;= (chi(+)(M1)(p))(q)+(chi(+)(M1)(p))(q)&lt;= 2 pi, q &gt;= 1. The complex interval-valued q-rung orthopair fuzzy model is used to express complex two-dimensional information. The future applicability of the suggested model is essentially guaranteed. This research integrates graph structures with CIVq-RungFS, by introducing the concept of Complex Interval-Valued q-Rung Orthopair Fuzzy Graph Structure (CIVq-RungFGS). Additionally, it proposes an innovative idea for the dominating energy of graphs, inspired by the newly presented CIVq-RungFGS concept. More precisely, with the aid of illustrative examples, the adjacency matrix of a dominating CIVq-RungFGS, the spectrum of the adjacency matrix, and their associated theory are constructed. Moreover, investigation is done on some features and constraints for the energy of dominating and mu(J)-Inverse dominating signless Laplacian Energy graph structures in the CIVq-RungFS environment. Moreover, the concept of isomorphic properties related to energy and the inverse dominance of signless Laplacian energy in CIVq-RungFGS are studied. Finally, it explores the potential applications of CIVq-RungFS with graph structure methodology in healthcare facility design. A formula has also been created to make our application's basic operations more understandable.</t>
  </si>
  <si>
    <t>[Bathusha, S. N. Suber; Raj, S. Angelin Kavitha] Manonmaniam Sundaranar Univ, Sadakathullah Appa Coll, Dept Math, Tirunelveli 627012, Tamil Nadu, India; [Ghorai, Ganesh] Vidyasagar Univ, Dept Appl Math, Midnapore 721102, West Bengal, India; [Mahamud, Mufti] Nottingham Trent Univ, Dept Comp Sci, Nottingham NG11 8NS, England; [Mahamud, Mufti] Nottingham Trent Univ, CIRC, Nottingham NG11 8NS, England; [Mahamud, Mufti] Nottingham Trent Univ, MTIF, Nottingham NG11 8NS, England</t>
  </si>
  <si>
    <t>Manonmaniam Sundaranar University; Vidyasagar University; Nottingham Trent University; Nottingham Trent University; Nottingham Trent University</t>
  </si>
  <si>
    <t>10.1007/s12190-024-02319-6</t>
  </si>
  <si>
    <t>Mandal, P; Roy, P; Maiti, A; Yadav, A; Bhattacharya, S; Paul, S</t>
  </si>
  <si>
    <t>Mandal, Pintu; Roy, Poushali; Maiti, Arabinda; Yadav, Alka; Bhattacharya, Subhasis; Paul, Suman</t>
  </si>
  <si>
    <t>Assessing the interplay of environmental change, cyclonic hazards, and their ramifications on agriculture in Indian Sundarban</t>
  </si>
  <si>
    <t>OCEAN &amp; COASTAL MANAGEMENT</t>
  </si>
  <si>
    <t>TIME-SERIES; CLIMATE-CHANGE; TROPICAL CYCLONES; VEGETATION INDEX; BENGAL; MODIS; WATER; VULNERABILITY; BAY; BANGLADESH</t>
  </si>
  <si>
    <t>[Mandal, Pintu] Sidho Kanho Birsha Univ, Dept Geog, Purulia, WB, India; [Roy, Poushali] Visva Bharati Univ, Santini Ketan, WB, India; [Maiti, Arabinda] Vidyasagar Univ, Dept Geog, Medinipur, WB, India; [Yadav, Alka] Indian Inst Technol, Dept Water Resources Dev &amp; Management WRDM, Roorkee, India; [Bhattacharya, Subhasis; Paul, Suman] Sidho Kanho Birsha Univ, Purulia, WB, India</t>
  </si>
  <si>
    <t>Visva Bharati University; Vidyasagar University; Indian Institute of Technology System (IIT System); Indian Institute of Technology (IIT) - Roorkee</t>
  </si>
  <si>
    <t>Paul, S (corresponding author), Sidho Kanho Birsha Univ, Purulia, WB, India.</t>
  </si>
  <si>
    <t>0964-5691</t>
  </si>
  <si>
    <t>1873-524X</t>
  </si>
  <si>
    <t>10.1016/j.ocecoaman.2024.107080</t>
  </si>
  <si>
    <t>Oceanography; Water Resources</t>
  </si>
  <si>
    <t>Kumar, Mukesh; Mahato, Lakhan Lal; Suryavanshi, Shakti; Singh, Sudhir Kumar; Kundu, Arnab; Dutta, Dipanwita; Lal, Deepak</t>
  </si>
  <si>
    <t>Future prediction of water balance using the SWAT and CA-Markov model using INMCM5 climate projections: a case study of the Silwani watershed (Jharkhand), India</t>
  </si>
  <si>
    <t>[Kumar, Mukesh; Lal, Deepak] Sam Higginbottom Univ Agr Technol &amp; Sci, Ctr Geospatial Technol, Prayagraj, Uttar Pradesh, India; [Mahato, Lakhan Lal] Jharkhand State Watershed Mission, Govt Jharkhand, Rural Dev Dept, Ranchi, Jharkhand, India; [Suryavanshi, Shakti] Sam Higginbottom Univ Agr Technol &amp; Sci, Dept Soil &amp; Water Conservat Engn, Prayagraj, Uttar Pradesh, India; [Singh, Sudhir Kumar] Univ Allahabad, K Banerjee Ctr Atmospher &amp; Ocean Studies, IIDS, Nehru Sci Ctr, Prayagraj, Uttar Pradesh, India; [Kundu, Arnab] Bankura Univ, Dept Geoinformat, Pandit Raghunath Murmu Smriti Mahavidyalaya, Bankura, West Bengal, India; [Dutta, Dipanwita] Vidyasagar Univ, Dept Remote Sensing, Midnapore, West Bengal, India; [Dutta, Dipanwita] Vidyasagar Univ, GIS, Midnapore, West Bengal, India</t>
  </si>
  <si>
    <t>Sam Higginbottom University of Agriculture, Technology &amp; Sciences; Sam Higginbottom University of Agriculture, Technology &amp; Sciences; University of Allahabad; Vidyasagar University; Vidyasagar University</t>
  </si>
  <si>
    <t>Suryavanshi, S (corresponding author), Sam Higginbottom Univ Agr Technol &amp; Sci, Dept Soil &amp; Water Conservat Engn, Prayagraj, Uttar Pradesh, India.</t>
  </si>
  <si>
    <t>10.1007/s11356-023-27547-4</t>
  </si>
  <si>
    <t>Palanikumar, M.; Jana, Chiranjibe; Pal, Madhumangal; Leoreanu-Fotea, V.</t>
  </si>
  <si>
    <t>On Various 2-absorbing prime ideals in non commutative rings</t>
  </si>
  <si>
    <t>ANALELE STIINTIFICE ALE UNIVERSITATII OVIDIUS CONSTANTA-SERIA MATEMATICA</t>
  </si>
  <si>
    <t>[Palanikumar, M.] Saveetha Inst Med &amp; Tech Sci, Saveetha Sch Engn, Chennai 602105, India; [Jana, Chiranjibe; Pal, Madhumangal] Vidyasagar Univ, Dept Appl Math Oceanol &amp; Comp Programming, Midnapore 721102, India; [Leoreanu-Fotea, V.] Alexandru Ioan Cuza Univ, Fac Math, Bd Carol I 11, Iasi, Romania</t>
  </si>
  <si>
    <t>Saveetha Institute of Medical &amp; Technical Science; Saveetha School of Engineering; Vidyasagar University; Alexandru Ioan Cuza University</t>
  </si>
  <si>
    <t>Palanikumar, M (corresponding author), Saveetha Inst Med &amp; Tech Sci, Saveetha Sch Engn, Chennai 602105, India.</t>
  </si>
  <si>
    <t>OVIDIUS UNIV PRESS</t>
  </si>
  <si>
    <t>CONSTANTA</t>
  </si>
  <si>
    <t>FAC MATHEMATICS &amp; COMPUTER SCIENCE, BULEVARDUL MAMAIA 124, CONSTANTA, 900527, ROMANIA</t>
  </si>
  <si>
    <t>1224-1784</t>
  </si>
  <si>
    <t>1844-0835</t>
  </si>
  <si>
    <t>10.2478/auom-2023-0024</t>
  </si>
  <si>
    <t>Manna, Sounik; Chowdhury, Trinath; Mandal, Santi M.; Choudhury, Sujata Maiti</t>
  </si>
  <si>
    <t>Short Amphiphiles or Micelle Peptides May Help to Fight Against COVID-19</t>
  </si>
  <si>
    <t>CURRENT PROTEIN &amp; PEPTIDE SCIENCE</t>
  </si>
  <si>
    <t>[Manna, Sounik; Choudhury, Sujata Maiti] Vidyasagar Univ, Dept Human Physiol, Midnapore 721102, W Bengal, India; [Manna, Sounik] Midnapore Coll Autonomous, Dept Microbiol, Paschim Medinipur 721101, India; [Chowdhury, Trinath; Mandal, Santi M.] Indian Inst Technol Kharagpur, Cent Res Facil, Kharagpur 721302, W Bengal, India</t>
  </si>
  <si>
    <t>Vidyasagar University; Midnapore College; Indian Institute of Technology System (IIT System); Indian Institute of Technology (IIT) - Kharagpur</t>
  </si>
  <si>
    <t>Choudhury, SM (corresponding author), Vidyasagar Univ, Dept Human Physiol, Midnapore 721102, W Bengal, India.;Mandal, SM (corresponding author), Indian Inst Technol Kharagpur, Cent Res Facil, Kharagpur 721302, W Bengal, India.</t>
  </si>
  <si>
    <t>1389-2037</t>
  </si>
  <si>
    <t>1875-5550</t>
  </si>
  <si>
    <t>10.2174/1389203723666220127154159</t>
  </si>
  <si>
    <t>Hasan, Sk Nurul; Banerjee, Jhimli; Patra, Soumen; Kar, Sukhendu; Das, Sayan; Samanta, Sovan; Wanigasekera, Dharani; Pavithra, Upekshi; Wijesekera, Kanchana; Napagoda, Mayuri; Giri, Biplab; Dash, Sandeep Kumar; Bag, Braja Gopal</t>
  </si>
  <si>
    <t>Self-assembled renewable nano-sized pentacyclic triterpenoid maslinic acids in aqueous medium for anti-leukemic, antibacterial and biocompatibility studies: An insight into targeted proteins-compound interactions based mechanistic pathway prediction through molecular docking</t>
  </si>
  <si>
    <t>[Hasan, Sk Nurul; Patra, Soumen; Kar, Sukhendu; Das, Sayan; Bag, Braja Gopal] Vidyasagar Univ, Dept Chem &amp; Chem Technol, Midnapore 721102, W Bengal, India; [Banerjee, Jhimli; Samanta, Sovan; Giri, Biplab; Dash, Sandeep Kumar] Univ Gour Banga, Dept Physiol, Malda 732103, W Bengal, India; [Wanigasekera, Dharani; Pavithra, Upekshi; Napagoda, Mayuri] Univ Ruhuna, Fac Med, Dept Biochem, Galle 80000, Sri Lanka; [Wijesekera, Kanchana] Univ Ruhuna, Fac Allied Hlth Sci, Dept Pharm, Galle 80000, Sri Lanka</t>
  </si>
  <si>
    <t>Vidyasagar University; University of Gour Banga; University Ruhuna; University Ruhuna</t>
  </si>
  <si>
    <t>Bag, BG (corresponding author), Vidyasagar Univ, Dept Chem &amp; Chem Technol, Midnapore 721102, W Bengal, India.;Dash, SK (corresponding author), Univ Gour Banga, Dept Physiol, Malda 732103, W Bengal, India.</t>
  </si>
  <si>
    <t>10.1016/j.ijbiomac.2023.125416</t>
  </si>
  <si>
    <t>Saha, Soumik; Bera, Biswajit; Shit, Pravat Kumar; Bhattacharjee, Sumana; Sengupta, Nairita</t>
  </si>
  <si>
    <t>Prediction of forest fire susceptibility applying machine and deep learning algorithms for conservation priorities of forest resources</t>
  </si>
  <si>
    <t>[Saha, Soumik; Bera, Biswajit] Sidho Kanho Birsha Univ, Dept Geog, Ranchi Rd,PO Purulia Sainik Sch, Purulia 723104, India; [Shit, Pravat Kumar] Vidyasagar Univ, Raja Narendralal Khan Womens Coll Autonomous, PG Dept Geog, Midnapore 721102, India; [Bhattacharjee, Sumana] Univ Calcutta, Jogesh Chandra Chaudhuri Coll, Dept Geog, 30 Prince Anwar Shah Rd, Kolkata 700033, India; [Sengupta, Nairita] Diamond Harbour Womens Univ, Dept Geog, Sarisha 743368, India</t>
  </si>
  <si>
    <t>Bera, B (corresponding author), Sidho Kanho Birsha Univ, Dept Geog, Ranchi Rd,PO Purulia Sainik Sch, Purulia 723104, India.</t>
  </si>
  <si>
    <t>10.1016/j.rsase.2022.100917</t>
  </si>
  <si>
    <t>Bhunia, Apurba; Zangrando, Ennio; Khatua, Snehadrinarayan; Manna, Subal Chandra</t>
  </si>
  <si>
    <t>Synthesis, crystal structure, electrochemistry and thermal analysis of an oxalato bridged Cr(III)-Pb(II) heterometallic coordination compound</t>
  </si>
  <si>
    <t>[Bhunia, Apurba; Manna, Subal Chandra] Vidyasagar Univ, Dept Chem, Midnapore 721102, W Bengal, India; [Zangrando, Ennio] Univ Trieste, Dept Chem &amp; Pharmaceut Sci, I-34127 Trieste, Italy; [Khatua, Snehadrinarayan] North Eastern Hill Univ, Dept Chem, Ctr Adv Studies, Shillong 793022, Meghalaya, India</t>
  </si>
  <si>
    <t>Vidyasagar University; University of Trieste; North Eastern Hill University</t>
  </si>
  <si>
    <t>Manna, SC (corresponding author), Vidyasagar Univ, Dept Chem, Midnapore 721102, W Bengal, India.</t>
  </si>
  <si>
    <t>10.1016/j.molstruc.2022.133562</t>
  </si>
  <si>
    <t>Shounda, J; Barman, K; Debnath, K; Mazumder, BS</t>
  </si>
  <si>
    <t>Shounda, Jayanta; Barman, Krishnendu; Debnath, Koustuv; Mazumder, Bijoy Singha</t>
  </si>
  <si>
    <t>Distribution of turbulent eddies under wave-current coexisting flow over hemispherical rough bed</t>
  </si>
  <si>
    <t>STOCHASTIC ENVIRONMENTAL RESEARCH AND RISK ASSESSMENT</t>
  </si>
  <si>
    <t>Length scale; Turbulent flow; Wave-current flow; Turbulent kinetic energy; Production rate; Dissipation rate</t>
  </si>
  <si>
    <t>OPEN-CHANNEL FLOW; REYNOLDS STRESSES; BOUNDARY-LAYERS; SURFACE; SPHERE; DISSIPATION</t>
  </si>
  <si>
    <t>This experimental study examines the distributions of turbulent eddies across three distinct rough beds with emphasis on positions such as upstream, downstream, crest, and cavity of the roughness elements. Three different roughness spacing with p/r = 4, 6, and 8 with roughness elements arranged in a regular pattern (where p and r denote the patch distance and roughness height, respectively) were explored for three distinct flow scenarios: current-only flow as well as two combined wave-current flows with wave frequencies of 1 Hz and 2 Hz. The surface waves propagated in the direction of flow. Furthermore, experiments were conducted for two different flow Reynolds numbers: 62,000 and 46,500. The effect of surface waves with different frequencies on the time-averaged turbulent properties (relevant to the eddy structure) of steady current is investigated, and the comparative results are described for two different flow submergences. Results indicate significant differences in the sizes of eddies for different tested scenarios, including that for different flow submergence cases. The quantitative findings regarding the different length scales of turbulence (Integral, Taylor, Kolmogorov) in the context of different flow submergence are investigated. Furthermore, these results are connected by the quantitative outputs of time-averaged velocity, production, and dissipation rates of turbulent kinetic energy. For a fixed time window, the change of eddy scales against the water depth at each considered location is evaluated by the wavelet decomposition of the instantaneous velocity signal. Results indicate that the frequency of the occurrence of larger eddies increases with the increase in wave frequency for at the outer zone.</t>
  </si>
  <si>
    <t>[Shounda, Jayanta; Barman, Krishnendu] Vidyasagar Univ, Dept Appl Math, Midnapore 721102, India; [Debnath, Koustuv] Indian Inst Engn Sci &amp; Technol IIEST, Dept Aerosp Engn &amp; Appl Mech, Sibpur 711103, India; [Mazumder, Bijoy Singha] Indian Inst Technol, Dept Civil Engn, Mumbai, India</t>
  </si>
  <si>
    <t>Vidyasagar University; Indian Institute of Engineering Science Technology Shibpur (IIEST); Indian Institute of Technology System (IIT System); Indian Institute of Technology (IIT) - Bombay</t>
  </si>
  <si>
    <t>Barman, K (corresponding author), Vidyasagar Univ, Dept Appl Math, Midnapore 721102, India.</t>
  </si>
  <si>
    <t>1436-3240</t>
  </si>
  <si>
    <t>1436-3259</t>
  </si>
  <si>
    <t>10.1007/s00477-024-02830-z</t>
  </si>
  <si>
    <t>Engineering, Environmental; Engineering, Civil; Environmental Sciences; Statistics &amp; Probability; Water Resources</t>
  </si>
  <si>
    <t>Engineering; Environmental Sciences &amp; Ecology; Mathematics; Water Resources</t>
  </si>
  <si>
    <t>Halder, B; Bandyopadhyay, J; Hemram, S</t>
  </si>
  <si>
    <t>Halder, Bijay; Bandyopadhyay, Jatisankar; Hemram, Sonamani</t>
  </si>
  <si>
    <t>Groundwater harvesting and artificial recharge site identification on upper Shilabati watershed using geospatial approaches</t>
  </si>
  <si>
    <t>GIS</t>
  </si>
  <si>
    <t>Rainwater harvesting and artificial recharge are substitute procedures to enhance groundwater and surface water for providing an unceasing water supply to a demand area. This analysis recommends the methodology to demarcate harvesting of rainwater and artificial recharge sites as recognizing constructive artificial recharge sites applying multi-criteria decision analysis (MCDA), integrated with remote sensing (RS), and GIS, procedures for supplementing groundwater properties in the Upper Shilabati catchment of West Bengal state, India. The Upper Shilabati catchment is a drought-prone area with high water demand to fulfill sustainable livelihood. The categorized regions like very low 5% (83.05 km2), low 32% (523.44 km2), moderate 26% (425.93 km2), high 37% (604.70 km2), and very high 0.002% (0.04 km2) while harvesting of rainwater regions are very low 6% (97.49 km2), low 25% (404.43 km2), moderate 53% (866.53 km2), high 13% (212.09 km2), and very high 4% (64.420 km2). The examining outcome indicates that the projected and previously current artificial recharge construction, like Percolation Tanks (PT), Check Dams (CD), Nala Bund (NB), Farm Ponds (FP), and Bore Wells (BW) with the entire numbers of 5, 2, 2, 2, and 1 similarly. The zones delineated for generating numerous artificial recharge structures with 112 artificial recharge constructions are notified, and 60 artificial recharge locations fall in the high recharge region. This artificial recharge is located in 28 (moderate recharge) and 24 sites (low recharge). Study outcomes could be applied to communicate an effectual groundwater management plan for domestic and agricultural determinations with confirm sustainable water supply for this basin.</t>
  </si>
  <si>
    <t>[Halder, Bijay] Univ Kebangsaan Malaysia, Fac Sci &amp; Technol, Dept Earth Sci &amp; Environm, Ukm Bangi 43600, Selangor, Malaysia; [Bandyopadhyay, Jatisankar; Hemram, Sonamani] Vidyasagar Univ, Dept Remote Sensing &amp; GIS, Midnapore 721102, India; [Halder, Bijay] Al Ayen Univ, Sci Res Ctr, New Era &amp; Dev Civil Engn Res Grp, Nasiriyah 64001, Iraq</t>
  </si>
  <si>
    <t>Universiti Kebangsaan Malaysia; Vidyasagar University; Al-Ayen University</t>
  </si>
  <si>
    <t>Halder, B (corresponding author), Univ Kebangsaan Malaysia, Fac Sci &amp; Technol, Dept Earth Sci &amp; Environm, Ukm Bangi 43600, Selangor, Malaysia.;Halder, B (corresponding author), Al Ayen Univ, Sci Res Ctr, New Era &amp; Dev Civil Engn Res Grp, Nasiriyah 64001, Iraq.</t>
  </si>
  <si>
    <t>10.1007/s00704-024-04947-1</t>
  </si>
  <si>
    <t>Aktar, MS; Kar, C; De, M; Mazumder, SK; Maiti, M; Rathour, L</t>
  </si>
  <si>
    <t>Aktar, Md Samim; Kar, Chaitali; De, Manoranjan; Mazumder, Sanat Kumar; Maiti, Manoranjan; Rathour, Laxmi</t>
  </si>
  <si>
    <t>Multi-Objective Green 4-Dimensional Transportation Problem for Incompatible Damageable Items with Optimum Use of Transport Vehicles' Space</t>
  </si>
  <si>
    <t>Multi-objective; 4D transportation problem; vacant space; carbon emission; multi-objective methods; MetaRanking</t>
  </si>
  <si>
    <t>FUZZY GRAPHS; NUMBERS; CRISP; MODEL</t>
  </si>
  <si>
    <t>In the transportation system, an item is transported from sources to destinations. In this process, as well as the weight of the items volume of the items also plays a crucial role in obtaining minimum objectives. In general, one of these constraints becomes binding. Few transportation problems (TPs) have been formulated with the restriction on vehicle volume capacity. Surface transport is one of the most powerful carbon emitters, which leads to global climate change. Thus, in addition to the usual travel cost and time minimization, carbon emission (CE) minimization and maximum vehicle space utilization should also be considered. A TP for damageable and incompatible items in a multi-objective green 4-dimensional environment is presented in this paper. The model is developed with four objectives: minimizing transportation cost, transportation time, vehicles' vacant space, and carbon emission amount. The model is solved by six multi-objective optimization methods, and their results are compared. A multi-criteria decision-making method, MetaRanking, is used to compare the results of the different multi-objective methods. The model is illustrated with some numerical data using the Generalized Reduced Gradient method through Lingo 11.0. A real-life example is also presented. Several particular models are deduced. The numerical results demonstrate the importance of each objective. Pareto fronts represent that each objective is conflicting with the other.</t>
  </si>
  <si>
    <t>[Aktar, Md Samim; Kar, Chaitali; Mazumder, Sanat Kumar] Indian Inst Engn Sci &amp; Technol, Dept Math, Howrah, W Bengal, India; [De, Manoranjan] Mugberia Gangadhar Mahavidyalaya, Dept Math, Bhupati Nagar, W Bengal, India; [Maiti, Manoranjan] Vidyasagar Univ, Dept Math, Midnapore, W Bengal, India; [Rathour, Laxmi] Natl Inst Technol, Dept Math, Aizawl, Mizoram, India</t>
  </si>
  <si>
    <t>Indian Institute of Engineering Science Technology Shibpur (IIEST); Mugberia Gangadhar Mahavidyalaya; Vidyasagar University; National Institute of Technology (NIT System); National Institute of Technology Mizoram</t>
  </si>
  <si>
    <t>Aktar, MS (corresponding author), Indian Inst Engn Sci &amp; Technol, Dept Math, Howrah, W Bengal, India.</t>
  </si>
  <si>
    <t>10.1142/S1793005725500140</t>
  </si>
  <si>
    <t>Bhunia, Amit Kumar; Sen, Sabyasachi; Guha, Prasanta Kumar; Saha, Satyajit</t>
  </si>
  <si>
    <t>Negative photoconductivity: optical and structural characterization of PVP encapsulated CuO nanorods for the study of negative photoconductivity effect</t>
  </si>
  <si>
    <t>[Bhunia, Amit Kumar] Govt Gen Degree Coll, Dept Phys, Gopiballavpur II, Jhargram 721517, India; [Sen, Sabyasachi] Maulana Abul Kalam Azad Univ Technol, Dept Microelect &amp; VLSI Technol, Haringhata 741249, India; [Guha, Prasanta Kumar] Indian Inst Technol Kharagpur, Dept Elect &amp; Elect Commun Engn, Paschim Medinipur 721302, India; [Guha, Prasanta Kumar] Indian Inst Technol Kharagpur, Sch Nano Sci &amp; Technol, Paschim Medinipur 721302, India; [Saha, Satyajit] Vidyasagar Univ, Dept Phys, Paschim Medinipur 721102, W Bengal, India</t>
  </si>
  <si>
    <t>Maulana Abul Kalam Azad University of Technology; Indian Institute of Technology System (IIT System); Indian Institute of Technology (IIT) - Kharagpur; Indian Institute of Technology System (IIT System); Indian Institute of Technology (IIT) - Kharagpur; Vidyasagar University</t>
  </si>
  <si>
    <t>Bhunia, AK (corresponding author), Govt Gen Degree Coll, Dept Phys, Gopiballavpur II, Jhargram 721517, India.</t>
  </si>
  <si>
    <t>10.1140/epjp/s13360-023-04244-2</t>
  </si>
  <si>
    <t>Bera, Biswajit; Shit, Pravat Kumar; Sengupta, Nairita; Saha, Soumik; Bhattacharjee, Sumana</t>
  </si>
  <si>
    <t>Steady declining trend of groundwater table and severe water crisis in unconfined hard rock aquifers in extended part of Chota Nagpur Plateau, India</t>
  </si>
  <si>
    <t>[Bera, Biswajit] Sidho Kanho Birsha Univ, Dept Geog, Ranchi Rd,PO Purulia Sain Sch, Purulia 723104, India; [Shit, Pravat Kumar] Vidyasagar Univ, Raja Narendralal Khan Womens Coll Autonomous, PG Dept Geog, Midnapore 721102, India; [Sengupta, Nairita] Diamond Harbour Womens Univ, Dept Geog, Sarisha 743368, India; [Saha, Soumik] Univ Calcutta, 35 Ballygunge Circular Rd, Kolkata 700019, W Bengal, India; [Bhattacharjee, Sumana] Univ Calcutta, Dept Geog, Jogesh Chandra Chaudhuri Coll, 30 Prince Anwar Shah Rd, Kolkata 700033, India</t>
  </si>
  <si>
    <t>Vidyasagar University; University of Calcutta; University of Calcutta</t>
  </si>
  <si>
    <t>Bhattacharjee, S (corresponding author), Univ Calcutta, Dept Geog, Jogesh Chandra Chaudhuri Coll, 30 Prince Anwar Shah Rd, Kolkata 700033, India.</t>
  </si>
  <si>
    <t>10.1007/s13201-021-01550-x</t>
  </si>
  <si>
    <t>Saha, Soumik; Bhattacharjee, Sumana; Shit, Pravat Kumar; Sengupta, Nairita; Bera, Biswajit</t>
  </si>
  <si>
    <t>Deforestation probability assessment using integrated machine learning algorithms of Eastern Himalayan foothills (India)</t>
  </si>
  <si>
    <t>RESOURCES CONSERVATION &amp; RECYCLING ADVANCES</t>
  </si>
  <si>
    <t>[Saha, Soumik; Bera, Biswajit] Sidho Kanho Birsha Univ, Dept Geog, Ranchi Rd,PO Purulia Sainik Sch, Purulia 723104, India; [Bhattacharjee, Sumana] Univ Calcutta, Jogesh Chandra Chaudhuri Coll, Dept Geog, 30 Prince Anwar Shah Rd, Kolkata 700033, India; [Shit, Pravat Kumar] Vidyasagar Univ, Raja Narendralal Khan Womens Coll Autonomous, PG Dept Geog, Midnapore 721102, India; [Sengupta, Nairita] Diamond Harbour Womens Univ, Dept Geog, Sarisha 743368, India</t>
  </si>
  <si>
    <t>2667-3789</t>
  </si>
  <si>
    <t>10.1016/j.rcradv.2022.200077</t>
  </si>
  <si>
    <t>Giri, Binoy Krishna; Roy, Sankar Kumar; Deveci, Muhammet</t>
  </si>
  <si>
    <t>Fuzzy robust flexible programming with Me measure for electric sustainable supply chain</t>
  </si>
  <si>
    <t>[Giri, Binoy Krishna; Roy, Sankar Kumar] Vidyasagar Univ, Dept Appl Math Oceanol &amp; Comp Programming, Midnapore 721102, West Bengal, India; [Deveci, Muhammet] Natl Def Univ, Turkish Naval Acad, Dept Ind Engn, TR-34940 Istanbul, Turkiye; [Deveci, Muhammet] UCL, Bartlett Sch Sustainable Construction, London WC1E 6BT, England</t>
  </si>
  <si>
    <t>Vidyasagar University; University of London; University College London</t>
  </si>
  <si>
    <t>10.1016/j.asoc.2023.110614</t>
  </si>
  <si>
    <t>Forest fire susceptibility prediction using machine learning models with resampling algorithms, Northern part of Eastern Ghat Mountain range (India)</t>
  </si>
  <si>
    <t>[Bera, Biswajit; Saha, Soumik] Sidho Kanho Birsha Univ, Dept Geog, Purulia, India; [Shit, Pravat Kumar] Vidyasagar Univ, Raja Narendralal Khan Womens Coll Autonomous, PG Dept Geog, Midnapore, India; [Sengupta, Nairita] Diamond Harbour Womens Univ, Dept Geog, Sarisha, India; [Bhattacharjee, Sumana] Univ Calcutta, Jogesh Chandra Chaudhuri Coll, Dept Geog, Kolkata, India</t>
  </si>
  <si>
    <t>Bhattacharjee, S (corresponding author), Univ Calcutta, Jogesh Chandra Chaudhuri Coll, Dept Geog, Kolkata, India.</t>
  </si>
  <si>
    <t>10.1080/10106049.2022.2060323</t>
  </si>
  <si>
    <t>Maiti, SK; Roy, SK; Weber, GW</t>
  </si>
  <si>
    <t>Maiti, Sumit kumar; Roy, Sankar kumar; Weber, Gerhard wilhelm</t>
  </si>
  <si>
    <t>GAUSSIAN TYPE-2 FUZZY COOPERATIVE GAME BASED ON REDUCTION METHOD: AN APPLICATION TO MULTI-DRUG RESISTANCE PROBLEM</t>
  </si>
  <si>
    <t>Bi-level programming; cooperative game; fuzzy programming; satisfactory solution; genetic algorithm</t>
  </si>
  <si>
    <t>MATRIX GAME; STACKELBERG; LOGIC; SETS; DEFUZZIFICATION; OPTIMIZATION; VARIABLES</t>
  </si>
  <si>
    <t>Many developments of fuzzy sets have been suggested to accomplish uncertain information in real-world problems. But, in the greatest cases, fuzzy sets in two- dimensions or type-1 fuzzy sets are measured. Incomplete information can indeed be complicated to manage as it creates gaps in understanding. Sporadically, the insufficiency of the data depends upon the extent of time or source, or both. In that case, type-1 fuzzy sets are not adequate to describe the situation. A three-dimensional of the fuzzy set, or type-2 fuzzy set, is utilized here to associate this gap. In the present study, we aim to improve cooperative games in Gaussian type-2 fuzzy environments. To do this, we first delineate the mean reduction and critical value method in Gaussian type-2 fuzzy environments and their properties. A composite strategy combining parametric programming and fuzzy programming is proposed to resolve the created bi-level programming problem in the course of the cooperative game. The proposed methodology is outlined with the multiple drug resistance implementation problem to verify the applicability and validity.</t>
  </si>
  <si>
    <t>[Maiti, Sumit kumar] Haldia Inst Technol, Dept Appl Sci &amp; Humanities, Dept Comp Sci &amp; Engn Data Sci, Haldia 721657, West Bengal, India; [Roy, Sankar kumar] Vidyasagar Univ, Dept Appl Math, Midnapore 721102, West Bengal, India; [Weber, Gerhard wilhelm] Poznan Univ Tech, Fac Engn Management, Poznan, Poland; [Weber, Gerhard wilhelm] Middle East Tech Univ, Inst Appl Math, Ankara, Turkiye</t>
  </si>
  <si>
    <t>Haldia Institute of Technology; Vidyasagar University; Poznan University of Technology; Middle East Technical University</t>
  </si>
  <si>
    <t>10.3934/jdg.2024028</t>
  </si>
  <si>
    <t>Rana, B; Bandyopadhyay, J; Halder, B</t>
  </si>
  <si>
    <t>Rana, Biswarup; Bandyopadhyay, Jatisankar; Halder, Bijay</t>
  </si>
  <si>
    <t>Investigating the relationship between urban sprawl and urban heat island using remote sensing and machine learning approaches</t>
  </si>
  <si>
    <t>LAND-SURFACE TEMPERATURE; WATER INDEX NDWI; BUILT-UP; 8 OLI; CITY; GIS; URBANIZATION; VARIABILITY; DYNAMICS; DISTRICT</t>
  </si>
  <si>
    <t>Urbanization is triggering the expansion in an unplanned and unrestricted manner, growth of outward expansion for some areas. One such important environmental and ecological hazard in recent decades is urban heat island (UHI) and urban thermal field variation index (UTFVI). Studies employing temporal satellite imagery from 1991 to 2021 focused on the appraisal of spatiotemporal patterns of urbanization and UHI in West Bengal's mid-sized cities (Medinipur and Kharagpur city). This study examines competencies of remote sensing (RS) and GIS procedures in empathetic heat effects and urban thermal conditions using Landsat datasets and GEE cloud software-based time-consuming conventional method. The change detection analysis revealed that built-up lands developed since 7.88-26.94% (1991-2021). The UHI's highest value in 1991 is 4.57 and in 2021 it increased by 6.87%. The highest 0.34% UTFVI value is found in the year 1991, but in 2021, the highest value was shown at 0.35% in this study area. The mean NDVI value increased from 1991 (0.29%) to 2021 (0.44%). The land surface temperature (LST) maps have been prepared using Landsat 5 and Landsat 8 surface reflectance datasets. Anthropogenic-related ecological changes in urbanized areas are concerning these days since they have the potential to negatively impact both the environment and human health. The investigation has shown that while LULC alterations were sufficiently large, unplanned changes to it can have a detrimental effect on the environment. Investigation established an operative systematic methods application to measure urbanization appearances and urban thermal conditions in Medinipur and Kharagpur city.</t>
  </si>
  <si>
    <t>[Rana, Biswarup; Bandyopadhyay, Jatisankar] Vidyasagar Univ, Dept Remote Sensing &amp; GIS, Midnapore 721102, India; [Halder, Bijay] Univ Kebangsaan Malaysia, Fac Sci &amp; Technol, Dept Earth Sci &amp; Environm, Bangi 43600, Selangor, Malaysia; [Halder, Bijay] Al Ayen Univ, Sci Res Ctr, New Era &amp; Dev Civil Engn Res Grp, Nasiriyah 64001, Iraq</t>
  </si>
  <si>
    <t>Vidyasagar University; Universiti Kebangsaan Malaysia; Al-Ayen University</t>
  </si>
  <si>
    <t>Halder, B (corresponding author), Univ Kebangsaan Malaysia, Fac Sci &amp; Technol, Dept Earth Sci &amp; Environm, Bangi 43600, Selangor, Malaysia.;Halder, B (corresponding author), Al Ayen Univ, Sci Res Ctr, New Era &amp; Dev Civil Engn Res Grp, Nasiriyah 64001, Iraq.</t>
  </si>
  <si>
    <t>10.1007/s00704-024-04874-1</t>
  </si>
  <si>
    <t>Estimation of carbon budget through carbon emission-sequestration and valuation of ecosystem services in the extended part of Chota Nagpur Plateau (India)</t>
  </si>
  <si>
    <t>10.1016/j.jclepro.2022.135054</t>
  </si>
  <si>
    <t>Shit, Chittaranjan; Ghorai, Ganesh; Xin, Qin; Gulzar, Muhammad</t>
  </si>
  <si>
    <t>Harmonic Aggregation Operator with Trapezoidal Picture Fuzzy Numbers and Its Application in a Multiple-Attribute Decision-Making Problem</t>
  </si>
  <si>
    <t>[Shit, Chittaranjan; Ghorai, Ganesh] Vidyasagar Univ, Dept Appl Math Oceanol &amp; Comp Programming, Midnapore 721102, India; [Xin, Qin] Univ Faroe Islands, Fac Sci &amp; Technol, Vestarabryggja 15, FO-100 Torshavn, Faroe Islands; [Gulzar, Muhammad] Govt Coll Univ Faisalabad, Dept Math, Faisalabad 38000, Pakistan</t>
  </si>
  <si>
    <t>Vidyasagar University; University of the Faroe Islands; Government College University Faisalabad</t>
  </si>
  <si>
    <t>10.3390/sym14010135</t>
  </si>
  <si>
    <t>Gan, PK; Pal, A; Rizvi, S; Kumari, N; Kar, M; Chatterjee, K</t>
  </si>
  <si>
    <t>Gan, Pijush K.; Pal, Arnab; Rizvi, Sarmad; Kumari, Neetu; Kar, Manoranjan; Chatterjee, Kuntal</t>
  </si>
  <si>
    <t>Tuneable and coral-like NiCoP for enhanced oxygen and hydrogen evolution reaction</t>
  </si>
  <si>
    <t>MATERIALS TODAY COMMUNICATIONS</t>
  </si>
  <si>
    <t>Bimetallic Phosphide; Electrocatalysis; OER; HER; Theoretical study</t>
  </si>
  <si>
    <t>HIGHLY EFFICIENT ELECTROCATALYST; PHOSPHIDE ULTRATHIN NANOSHEETS; BIFUNCTIONAL ELECTROCATALYST; HIGH-PERFORMANCE; NI FOAM; NICKEL; COBALT; ARRAYS; NANOPARTICLES; CATALYSTS</t>
  </si>
  <si>
    <t>Meticulous tuning of nonprecious catalysts for overall water splitting is highly challenging but it is one of the most promising routes toward the future hydrogen economy. Here, we present a highly active, robust and earth abundant NiCoP electrocatalyst with a tuning capacity to excel in both oxygen and hydrogen evolution reactions. The composition of Ni and Co has been varied in a facile two-step method to produce coral-like NiCoP. The variant Ni0.25Co0.75 P has shown remarkable OER activity with overpotential as low as 240 mV at 10 mA/cm(2) current density and Tafel slope of 68 mV dec(-1) in alkaline medium. On the other hand, Ni0.75Co0.25P exhibited commendable HER performance with an overpotential of 120 mV and a Tafel slope of 123 mV dec(-1) in an acid medium. Long -term durability and minimal loading of the catalyst ascertain the significance of the present catalyst. Moreover, our theoretical study finds that NiCoP provides a much higher electron density of d-states near the Fermi level compared to the individual metal phosphide and the low-index surface (100) of composite phosphide has a moderate level of desorption energy of oxygen and hydrogen compared to that of NiP2 &amp; CoP corroborating the superiority of NiCoP in OER/HER performance.</t>
  </si>
  <si>
    <t>[Gan, Pijush K.; Pal, Arnab; Chatterjee, Kuntal] Vidyasagar Univ, Dept Phys, Midnapore 721102, West Bengal, India; [Rizvi, Sarmad; Kumari, Neetu] Malaviya Natl Inst Technol Jaipur, Dept Chem Engn, Jaipur 302017, Rajasthan, India; [Kar, Manoranjan] Indian Inst Technol Patna, Departmet Phys, Patna 801106, Bihar, India</t>
  </si>
  <si>
    <t>Vidyasagar University; National Institute of Technology (NIT System); Malaviya National Institute of Technology Jaipur; Indian Institute of Technology (IIT) - Patna; Indian Institute of Technology System (IIT System)</t>
  </si>
  <si>
    <t>Chatterjee, K (corresponding author), Vidyasagar Univ, Dept Phys, Midnapore 721102, West Bengal, India.</t>
  </si>
  <si>
    <t>2352-4928</t>
  </si>
  <si>
    <t>10.1016/j.mtcomm.2024.108063</t>
  </si>
  <si>
    <t>Patra, Apu; Carrella, Luca M.; Vojtisek, Pavel; Rentschler, Eva; Manna, Subal Chandra</t>
  </si>
  <si>
    <t>Opposing magnetic communications in two dinuclear Ni(II) complexes: Ferromagnetic Ni-N-Ni and antiferromagnetic Ni-O-Ni moiety</t>
  </si>
  <si>
    <t>[Patra, Apu; Manna, Subal Chandra] Vidyasagar Univ, Dept Chem, Midnapore 721102, W Bengal, India; [Carrella, Luca M.; Rentschler, Eva] Johannes Gutenberg Univ Mainz, Dept Chem, D-55128 Mainz, Germany; [Vojtisek, Pavel] JE Purkyn Univ Ustinad Labem, Fac Sci, Dept Chem, Pasteurova 1, Ustinad Labem 40096, Czech Republic</t>
  </si>
  <si>
    <t>Vidyasagar University; Johannes Gutenberg University of Mainz</t>
  </si>
  <si>
    <t>Manna, SC (corresponding author), Vidyasagar Univ, Dept Chem, Midnapore 721102, W Bengal, India.;Rentschler, E (corresponding author), Johannes Gutenberg Univ Mainz, Dept Chem, D-55128 Mainz, Germany.</t>
  </si>
  <si>
    <t>10.1016/j.poly.2022.116098</t>
  </si>
  <si>
    <t>Maity, Sibaprasad; Maity, Annada C.; Das, Avijit Kumar; Roymahapatra, Gourisankar; Goswami, Shyamaprosad; Mandal, Tarun Kanti</t>
  </si>
  <si>
    <t>Colorimetric and theoretical investigation of coumarin based chemosensor for selective detection of fluoride</t>
  </si>
  <si>
    <t>[Maity, Sibaprasad; Roymahapatra, Gourisankar] Haldia Inst Technol, Dept Appl Sci, Haldia 721657, W Bengal, India; [Das, Avijit Kumar] CHRIST Deemed Univ, Dept Chem, Hosur Rd, Bengaluru 560029, Karnataka, India; [Maity, Annada C.; Goswami, Shyamaprosad] Indian Inst Engn Sci &amp; Technol, Dept Chem, Howrah 711103, W Bengal, India; [Mandal, Tarun Kanti] Vidyasagar Univ, Midnapore 721102, W Bengal, India</t>
  </si>
  <si>
    <t>Haldia Institute of Technology; Christ University; Indian Institute of Engineering Science Technology Shibpur (IIEST); Vidyasagar University</t>
  </si>
  <si>
    <t>Maity, S (corresponding author), Haldia Inst Technol, Dept Appl Sci, Haldia 721657, W Bengal, India.;Das, AK (corresponding author), CHRIST Deemed Univ, Dept Chem, Hosur Rd, Bengaluru 560029, Karnataka, India.</t>
  </si>
  <si>
    <t>10.1016/j.molstruc.2022.133228</t>
  </si>
  <si>
    <t>Chakraborty, S; Novotny, J; Das, J; Patel, PP; Maity, I; Roy, U</t>
  </si>
  <si>
    <t>Chakraborty, Saurav; Novotny, Josef; Das, Jadab; Patel, Priyank Pravin; Maity, Indranil; Roy, Utpal</t>
  </si>
  <si>
    <t>Spatial Environment and Open Defecation: In Pursuit of Social Valuation of Sanitation Ecosystem Services</t>
  </si>
  <si>
    <t>PROFESSIONAL GEOGRAPHER</t>
  </si>
  <si>
    <t>India; Open Defecation Suitability Index; sanitation; sanitation ecosystem services; spatial environment</t>
  </si>
  <si>
    <t>LATRINE; HEALTH; DEMAND; LIFE</t>
  </si>
  <si>
    <t>This article examines the social valuation of the external environment used for open defecation (OD). For this, we distinguish between the necessity-driven OD hypothesis that emanates from the reasoning of scarcity valuation of suitable open spaces used for OD (i.e., as the last resort option) owing to resource constraints preventing toilet adoption and the opportunity-driven OD hypothesis, which contends that it is the availability of suitable spaces per se that attracts people to defecate in the open. We geolocate 283 major OD sites in 175 villages of Purulia district (West Bengal, India), assess their environmental parameters, and propose the OD Suitability Index (ODSI). We linked the village-wise ODSI with social data from structured interviews in 1,240 households practicing OD to investigate the social valuation of the spatial environment concerning OD (specific type of sanitation ecosystem services). Results reveal that the perceived importance of the availability of suitable space for OD is negatively related to the ODSI measure, implying that people acknowledge the scarcity value of suitable space for OD due to the absence of other options rather than its abundance per se. Besides, we also showed that the perceived resource shortages have an objective basis and are negatively related to household income. These findings support the contention that the widespread occurrence of OD in the studied region is best explained by necessity-driven OD rather than the opportunity-driven OD argument. Thus, addressing the resource constraints should be prioritized over (prior to) sanctioning people practicing OD.</t>
  </si>
  <si>
    <t>[Chakraborty, Saurav; Patel, Priyank Pravin] Presidency Univ, Kolkata, India; [Novotny, Josef] Charles Univ Prague, Prague, Czech Republic; [Das, Jadab] Vidyasagar Univ, Midnapore, India; [Maity, Indranil; Roy, Utpal] Univ Calcutta, Kolkata, India</t>
  </si>
  <si>
    <t>Presidency University, Kolkata; Charles University Prague; Vidyasagar University; University of Calcutta</t>
  </si>
  <si>
    <t>Chakraborty, S (corresponding author), Presidency Univ, Kolkata, India.</t>
  </si>
  <si>
    <t>0033-0124</t>
  </si>
  <si>
    <t>1467-9272</t>
  </si>
  <si>
    <t>10.1080/00330124.2023.2287167</t>
  </si>
  <si>
    <t>Ahemad, Faizan; Khan, Ahmad Zaman; Mehlawat, Mukesh Kumar; Gupta, Pankaj; Roy, Sankar Kumar</t>
  </si>
  <si>
    <t>Multi-attribute group decision-making for solid waste management using interval-valued q-rung orthopair fuzzy COPRAS</t>
  </si>
  <si>
    <t>[Ahemad, Faizan; Mehlawat, Mukesh Kumar; Gupta, Pankaj] Univ Delhi, Dept Operat Res, Delhi 110007, India; [Khan, Ahmad Zaman] Aalborg Univ, Dept Mat &amp; Prod, Fibigerstraede 16, DK-9220 Aalborg, Denmark; [Roy, Sankar Kumar] Vidyasagar Univ, Dept Appl Math Oceanol &amp; Comp Programming, Midnapore 721102, West Bengal, India</t>
  </si>
  <si>
    <t>University of Delhi; Aalborg University; Vidyasagar University</t>
  </si>
  <si>
    <t>10.1051/ro/2023033</t>
  </si>
  <si>
    <t>Das, Sayak; Najar, Ishfaq Nabi; Sherpa, Mingma Thundu; Kumar, Santosh; Sharma, Prayatna; Mondal, Krishnendu; Tamang, Sonia; Thakur, Nagendra</t>
  </si>
  <si>
    <t>Baseline metagenome-assembled genome (MAG) data of Sikkim hot springs from Indian Himalayan geothermal belt (IHGB) showcasing its potential CAZymes, and sulfur-nitrogen metabolic activity</t>
  </si>
  <si>
    <t>[Das, Sayak; Najar, Ishfaq Nabi; Sherpa, Mingma Thundu; Kumar, Santosh; Sharma, Prayatna; Tamang, Sonia; Thakur, Nagendra] Sikkim Univ, Sch Life Sci, Dept Microbiol, 6th Mile, Gangtok 737102, Sikkim, India; [Das, Sayak] Assam Univ, Hargobind Khurana Sch Life Sci, Dept Life Sci &amp; Bioinformat, Silchar 788011, Assam, India; [Mondal, Krishnendu] Vidyasagar Univ, Dept Microbiol, Midnapore 721102, W Bengal, India</t>
  </si>
  <si>
    <t>Sikkim University; Assam University; Vidyasagar University</t>
  </si>
  <si>
    <t>10.1007/s11274-023-03631-2</t>
  </si>
  <si>
    <t>Khatun, A; Panchali, T; Gorai, S; Dutta, A; Das, TK; Ghosh, K; Pradhan, S; Mondal, KC; Chakrabarti, S</t>
  </si>
  <si>
    <t>Khatun, Amina; Panchali, Titli; Gorai, Sukhamoy; Dutta, Ananya; Das, Tridip Kumar; Ghosh, Kuntal; Pradhan, Shrabani; Mondal, Keshab Chandra; Chakrabarti, Sudipta</t>
  </si>
  <si>
    <t>Impaired brain equanimity and neurogenesis in the diet-induced overweight mouse: a preventive role by syringic acid treatment</t>
  </si>
  <si>
    <t>NUTRITIONAL NEUROSCIENCE</t>
  </si>
  <si>
    <t>Diet-induced overweight; syringic acid; PPAR-alpha; blood-brain barrier; oxidative stress; neuroinflammation; neurogenesis; high fat diet</t>
  </si>
  <si>
    <t>FATTY LIVER-DISEASE; OXIDATIVE STRESS; INSULIN-RESISTANCE; ENERGY-BALANCE; OBESITY; CONSEQUENCES; HIPPOCAMPAL; DISRUPTION; EXPRESSION; MEMORY</t>
  </si>
  <si>
    <t>Objectives: In this study mice were fed a high-fat diet for 12 weeks to establish diet-induced obesity and syringic acid (SA) was assessed for anti-obese, neuroprotective, and neurogenesis.Method: Animals were given HFD for 12 weeks to measure metabolic characteristics and then put through the Barns-maze and T-maze tests to measure memory. Additionally, the physiology of the blood-brain barrier, oxidative stress parameters, the expression of inflammatory genes, neurogenesis, and histopathology was evaluated in the brain.Result: DIO raised body weight, BMI, and other metabolic parameters after 12 weeks of overfeeding. A reduced spontaneous alternation in behavior (working memory, reference memory, and total time to complete a task), decreased enzymatic and non-enzymatic antioxidants, oxidative biomarkers, increased neurogenesis, and impaired blood-brain barrier were all seen in DIO mice. SA (50 mg/kg) treatment of DIO mice (4 weeks after 8 weeks of HFD feeding) reduced diet-induced changes in lipid parameters associated with obesity, hepatological parameters, memory, blood-brain barrier, oxidative stress, neuroinflammation, and neurogenesis. SA also reduced the impact of malondialdehyde and enhanced the effects of antioxidants such as glutathione, superoxide dismutase (SOD), and total thiol (MDA). Syringic acid improved neurogenesis, cognition, and the blood-brain barrier while reducing neurodegeneration in the hippocampal area.Discussion: According to the results of the study, syringic acid therapy prevented neurodegeneration, oxidative stress, DIO, and memory loss. Syringic acid administration may be a useful treatment for obesity, memory loss, and neurogenesis, but more research and clinical testing is needed.</t>
  </si>
  <si>
    <t>[Khatun, Amina; Das, Tridip Kumar; Ghosh, Kuntal; Chakrabarti, Sudipta] Midnapore City Coll, Dept Biol Sci, Paschim Medinipur, India; [Panchali, Titli; Dutta, Ananya; Pradhan, Shrabani] Midnapore City Coll, Dept Paramed &amp; Allied Hlth Sci, Paschim Medinipur, India; [Gorai, Sukhamoy] Rush Univ, Dept Neurol Sci, Med Ctr, Chicago, IL USA; [Mondal, Keshab Chandra] Vidyasagar Univ, Dept Microbiol, Midnapore, India; [Chakrabarti, Sudipta] Midnapore City Coll, Dept Biol Sci, Paschim Medinipur 721129, West Bengal, India</t>
  </si>
  <si>
    <t>Rush University; Vidyasagar University</t>
  </si>
  <si>
    <t>Chakrabarti, S (corresponding author), Midnapore City Coll, Dept Biol Sci, Paschim Medinipur 721129, West Bengal, India.</t>
  </si>
  <si>
    <t>1028-415X</t>
  </si>
  <si>
    <t>1476-8305</t>
  </si>
  <si>
    <t>10.1080/1028415X.2023.2187510</t>
  </si>
  <si>
    <t>Neurosciences; Nutrition &amp; Dietetics</t>
  </si>
  <si>
    <t>Neurosciences &amp; Neurology; Nutrition &amp; Dietetics</t>
  </si>
  <si>
    <t>INORGANICA CHIMICA ACTA</t>
  </si>
  <si>
    <t>Vidyasagar University; Durham University</t>
  </si>
  <si>
    <t>0020-1693</t>
  </si>
  <si>
    <t>1873-3255</t>
  </si>
  <si>
    <t>INORG CHIM ACTA</t>
  </si>
  <si>
    <t>Inorg. Chim. Acta</t>
  </si>
  <si>
    <t>Kumar, G; Bera, S; Samanta, G; Maiti, M</t>
  </si>
  <si>
    <t>Kumar, Gautam; Bera, Sukhendu; Samanta, Guruprasad; Maiti, Manoranjan</t>
  </si>
  <si>
    <t>Optimal profit in two-level trade credit EOQ model with default risk and reminder cost under finite time horizon having time-dependent demand and deterioration</t>
  </si>
  <si>
    <t>Inventory model; changing credit period; finite and uncertain time horizon; time-dependent demand and deterioration; reminder cost</t>
  </si>
  <si>
    <t>OPTIMAL ORDERING POLICY; INVENTORY MODEL; SUPPLY CHAIN; VARIABLE DEMAND; QUANTITY MODEL; PERIOD; PRICE; INFLATION; ITEM</t>
  </si>
  <si>
    <t>Trade credit is a type of promotional activity that generally increases demand and revenue but also invites default risk due to dishonest customers. Due to default risk, revenue is lost, and to overcome this, an arrangement is made to remind the defaulters. A retailer dealing with a perishable item wants to exhaust the stock quickly after a certain deterioration level. Demand and deterioration of the products are normally dynamic. The business period of seasonal products is uncertain. Considering these facts, we formulate and analyze a two-level trade credit inventory model, where the wholesaler and retailer give credit periods to their corresponding downstream customers. After a certain level of deterioration, the retailer increases the credit period for the customers for early stock exhaustion, and to reduce default risk, a reminder cost is introduced. These activities increase the profit. The mathematical models under different circumstances are formulated for different time horizons. Some existing results are deduced. The models are numerically solved using a parametric study and the Generalised Reduced Gradient method through LINGO 19.0 software. Some lemmas and theorems are deduced to establish the analytical outcomes. Trade-offs between the number of the business cycle, trade credit, and reminder cost against optimum profit are separately demonstrated. The results with and without reminder cost are compared, and it is shown that the model with reminder cost fetches more profit. Profit under different uncertain environments are evaluated, and they differ marginally. Some beneficial impacts are discussed.</t>
  </si>
  <si>
    <t>[Kumar, Gautam; Samanta, Guruprasad] Indian Inst Engn Sci &amp; Technol, Dept Math, Howrah 711103, West Bengal, India; [Bera, Sukhendu] Natl Inst Technol, Dept Math, Durgapur 713209, India; [Maiti, Manoranjan] Vidyasagar Univ, Dept Appl Math Oceanol &amp; Comp Programming, Midnapore 721102, W Bengal, India</t>
  </si>
  <si>
    <t>Indian Institute of Engineering Science Technology Shibpur (IIEST); National Institute of Technology (NIT System); National Institute of Technology Durgapur; Vidyasagar University</t>
  </si>
  <si>
    <t>Kumar, G (corresponding author), Indian Inst Engn Sci &amp; Technol, Dept Math, Howrah 711103, West Bengal, India.</t>
  </si>
  <si>
    <t>10.1051/ro/2024131</t>
  </si>
  <si>
    <t>Bhunia, Amit Kumar; Jha, Pradeep K.; Saha, Satyajit</t>
  </si>
  <si>
    <t>Exciton-tryptophan coupling pulse behaviour along with corona formation, binding analysis, and interaction study of ZnO nanorod-serum albumin protein bioconjugate</t>
  </si>
  <si>
    <t>LUMINESCENCE</t>
  </si>
  <si>
    <t>[Bhunia, Amit Kumar] Govt Gen Degree Coll Gopiballavpur II, Dept Phys, Jhargram 721517, India; [Jha, Pradeep K.] Indian Inst Technol IIT Kharagpur, Sch Med Sci &amp; Technol, Paschim Medinipur, India; [Saha, Satyajit] Vidyasagar Univ, Dept Phys, Paschim Medinipur, India</t>
  </si>
  <si>
    <t>Bhunia, AK (corresponding author), Govt Gen Degree Coll Gopiballavpur II, Dept Phys, Jhargram 721517, India.</t>
  </si>
  <si>
    <t>1522-7235</t>
  </si>
  <si>
    <t>1522-7243</t>
  </si>
  <si>
    <t>10.1002/bio.4233</t>
  </si>
  <si>
    <t>Chemistry, Analytical</t>
  </si>
  <si>
    <t>Pahari, S; Bandyopadhyay, A; Manna, A</t>
  </si>
  <si>
    <t>Pahari, Subhajit; Bandyopadhyay, Anupam; Manna, Atanu</t>
  </si>
  <si>
    <t>Exploring the social media advertising avoidance behavior through the lens of avoidance motivation theory</t>
  </si>
  <si>
    <t>Social media advertisement; Advertisement avoidance; Avoidance motivation theory; Structural equation modeling</t>
  </si>
  <si>
    <t>AD; RESPONSES; ATTITUDE</t>
  </si>
  <si>
    <t>PurposeThis study investigates advertising avoidance behavior among consumers, specifically in the realm of meta-platforms. It explores the impacts of digital burnout, advertising clutter, perceived advertising risk, and goal impediment on cognitive and behavioral ad avoidance.Design/methodology/approachWith a sample of 410 respondents, the research employs a comprehensive analysis approach with SEM and CFA, integrating Avoidance Motivation Theory. It examines direct and indirect influences on ad avoidance, mediated by consumer emotions and attitudes. The study highlights the moderating role of content quality in shaping these relationships.FindingsSignificant links were found between digital burnout, clutter, perceived advertising risk, and goal impediment with cognitive and behavioral ad avoidance. The study emphasizes the importance of content quality and suggests strategies that focus on emotional resonance, user alignment, and reduced intrusion.Practical implicationsFor advertisers and marketers in digital spaces, the findings recommend strategies promoting healthy technology usage, streamlined advertising content, transparent communication aligned with user goals, and emotionally resonant campaigns to mitigate ad avoidance behaviors.Social implicationsUnderstanding consumer sentiments aids policymakers in creating conducive advertising models, benefiting both consumers and businesses. This enhances user experiences in digital environments.Originality/valueThe paper distinctively applies the Avoidance Motivation Theory to the context of avoiding social media advertisements, thereby uncovering the causes of negative consumer emotions and attitudes, and highlighting the crucial role of content quality as a means to counteract these adverse reactions.</t>
  </si>
  <si>
    <t>[Pahari, Subhajit] Symbiosis Ctr Management Studies, Nagpur, India; [Pahari, Subhajit] Woxsen Univ, Sch Business, Hyderabad, India; [Bandyopadhyay, Anupam] GITAM Deemed Univ, GITAM Sch Business, Bengaluru, India; [Manna, Atanu] Vidyasagar Univ, Ctr Environm Studies, Midnapore, India</t>
  </si>
  <si>
    <t>Symbiosis International University; Woxsen University; Gandhi Institute of Technology &amp; Management (GITAM); Vidyasagar University</t>
  </si>
  <si>
    <t>Pahari, S (corresponding author), Symbiosis Ctr Management Studies, Nagpur, India.;Pahari, S (corresponding author), Woxsen Univ, Sch Business, Hyderabad, India.</t>
  </si>
  <si>
    <t>10.1108/K-02-2024-0309</t>
  </si>
  <si>
    <t>Kumar, Santosh; Najar, Ishfaq Nabi; Sharma, Prayatna; Tamang, Sonia; Mondal, Krishnendu; Das, Sayak; Sherpa, Mingma Thundu; Thakur, Nagendra</t>
  </si>
  <si>
    <t>Temperature-A critical abiotic paradigm that governs bacterial heterogeneity in natural ecological system</t>
  </si>
  <si>
    <t>ENVIRONMENTAL RESEARCH</t>
  </si>
  <si>
    <t>[Kumar, Santosh; Najar, Ishfaq Nabi; Sharma, Prayatna; Tamang, Sonia; Sherpa, Mingma Thundu; Thakur, Nagendra] Sikkim Univ, Sch Life Sci, Dept Microbiol, Gangtok 737102, Sikkim, India; [Mondal, Krishnendu] Vidyasagar Univ, Dept Microbiol, Midnapore 721102, India; [Das, Sayak] Assam Univ, HK Sch Life Sci, Dept Life Sci &amp; Bioinformat, Silchar 788011, Assam, India</t>
  </si>
  <si>
    <t>Sikkim University; Vidyasagar University; Assam University</t>
  </si>
  <si>
    <t>Thakur, N (corresponding author), Sikkim Univ, Sch Life Sci, Dept Microbiol, Gangtok 737102, Sikkim, India.</t>
  </si>
  <si>
    <t>0013-9351</t>
  </si>
  <si>
    <t>1096-0953</t>
  </si>
  <si>
    <t>ENVIRON RES</t>
  </si>
  <si>
    <t>Environ. Res.</t>
  </si>
  <si>
    <t>10.1016/j.envres.2023.116547</t>
  </si>
  <si>
    <t>Environmental Sciences; Public, Environmental &amp; Occupational Health</t>
  </si>
  <si>
    <t>Environmental Sciences &amp; Ecology; Public, Environmental &amp; Occupational Health</t>
  </si>
  <si>
    <t>Choubey, Deepak; Deshmukh, Bhagyashree; Rao, Anjani Gopal; Kanyal, Abhishek; Hati, Amiya Kumar; Roy, Somenath; Karmodiya, Krishanpal</t>
  </si>
  <si>
    <t>Genomic analysis of Indian isolates of Plasmodium falciparum: Implications for drug resistance and virulence factors</t>
  </si>
  <si>
    <t>INTERNATIONAL JOURNAL FOR PARASITOLOGY-DRUGS AND DRUG RESISTANCE</t>
  </si>
  <si>
    <t>[Choubey, Deepak] Savitribai Phule Pune Univ, Dept Technol, Pune, India; [Deshmukh, Bhagyashree; Rao, Anjani Gopal; Kanyal, Abhishek; Karmodiya, Krishanpal] Indian Inst Sci Educ &amp; Res, Dept Biol, Dr Homi Bhabha Rd,Pashan, Pune 411008, Maharashtra, India; [Hati, Amiya Kumar] Calcutta Sch Trop Med, Dept Med Entomol, Kolkata, West Bengal, India; [Roy, Somenath] Vidyasagar Univ, Dept Human Physiol, Midnapore, West Bengal, India</t>
  </si>
  <si>
    <t>Savitribai Phule Pune University; Indian Institute of Science Education &amp; Research (IISER) Pune; Calcutta School of Tropical Medicine (CSTM); Vidyasagar University</t>
  </si>
  <si>
    <t>Karmodiya, K (corresponding author), Indian Inst Sci Educ &amp; Res, Dept Biol, Dr Homi Bhabha Rd,Pashan, Pune 411008, Maharashtra, India.</t>
  </si>
  <si>
    <t>2211-3207</t>
  </si>
  <si>
    <t>10.1016/j.ijpddr.2023.05.003</t>
  </si>
  <si>
    <t>Parasitology; Pharmacology &amp; Pharmacy</t>
  </si>
  <si>
    <t>Das, Sabyasachi; Tripathy, Satyajit; Das, Ankita; Sharma, Meenakshi Kumari; Nag, Ayan; Hati, Amiya Kumar; Roy, Somenath</t>
  </si>
  <si>
    <t>Genomic characterization of Plasmodium falciparum genes associated with anti-folate drug resistance and treatment outcomes in eastern India: A molecular surveillance study from 2008 to 2017</t>
  </si>
  <si>
    <t>FRONTIERS IN CELLULAR AND INFECTION MICROBIOLOGY</t>
  </si>
  <si>
    <t>[Das, Sabyasachi; Nag, Ayan] Manipal Univ, Fac Med, Dept Physiol, Coll Malaysia, Melaka, Malaysia; [Das, Sabyasachi; Sharma, Meenakshi Kumari; Roy, Somenath] Vidyasagar Univ, Dept Human Physiol, Midnapore, India; [Tripathy, Satyajit] Univ Free State, Fac Hlth Sci, Sch Clin Med, Dept Pharmacol, Bloemfontein, South Africa; [Das, Ankita] Raja NL Khan Womens Coll, Dept Human Physiol, Midnapore, India; [Hati, Amiya Kumar] Calcutta Sch Trop Med, Dept Med Entomol, Kolkata, W Bengal, India</t>
  </si>
  <si>
    <t>Vidyasagar University; University of the Free State; Calcutta School of Tropical Medicine (CSTM)</t>
  </si>
  <si>
    <t>Roy, S (corresponding author), Vidyasagar Univ, Dept Human Physiol, Midnapore, India.</t>
  </si>
  <si>
    <t>2235-2988</t>
  </si>
  <si>
    <t>10.3389/fcimb.2022.865814</t>
  </si>
  <si>
    <t>Mondal, K; Sharma, P; Najar, IN; Mondal, S; Kumar, S; Tamang, S; Halder, SK; Thakur, N; Mondal, KC</t>
  </si>
  <si>
    <t>Mondal, Krishnendu; Sharma, Prayatna; Najar, Ishfaq Nabi; Mondal, Shubhadeep; Kumar, Santosh; Tamang, Sonia; Halder, Suman Kumar; Thakur, Nagendra; Mondal, Keshab Chandra</t>
  </si>
  <si>
    <t>Cloning, expression, and characterization of thermostable α-amylase of a thermophilic bacterium isolated from hot-spring of Sikkim and sustainable immobilization on coconut coir</t>
  </si>
  <si>
    <t>Thermostable; Bacillus subtilis k2cm; Recombinant alpha-amylase; Immobilization; Specific activity</t>
  </si>
  <si>
    <t>BIOCHEMICAL-CHARACTERIZATION; BACILLUS-LICHENIFORMIS; ESCHERICHIA-COLI; PURIFICATION; ENZYME; CALCIUM; WASTE; GENE</t>
  </si>
  <si>
    <t>Cloning and expression of the alpha-amylase gene (AmyK2) of thermophilic Bacillus subtilis k2cm originated from Yume Samdong hot spring, North Sikkim, India was done in Escherichia coli BL-21(DE3). The 55.0 kDa purified recombinant enzyme exhibited optimum activity at 70 degrees C and pH 7.0 with significant stability in temperature and pH ranges from 30 to 90 degrees C and 6.0-8.0, respectively. The alpha-amylase is Ca+ 2 independent, and can act with reasonably high efficiency in absence of any metal. Moreover, its activity increased in the presence of Fe+ 2 ion and was inhibited by Hg+ 2 ion and EDTA. The recombinant enzyme showed a half-life of 53 min at 70 degrees C and its V-max and K-m values were 22.22 U/mg and 5.06 mg/ml, respectively. Immobilization of the purified enzyme on low-cost coconut coir with high immobilization yield (98.27% specific activity), increased half-life (71 min), and higher thermostability with successive use up to 8 cycles with high efficacy validates the techno-economic merit of use of the immobilized biocatalyst. As a whole, cloning the alpha-amylase gene of thermostable bacteria into the mesophilic organism and subsequent immobilization of the enzyme will unravel its secrets within the confines of the laboratory which could expedite its commercial exploitation in future.</t>
  </si>
  <si>
    <t>[Mondal, Krishnendu; Halder, Suman Kumar; Mondal, Keshab Chandra] Vidyasagar Univ, Dept Microbiol, Midnapore 721102, West Bengal, India; [Sharma, Prayatna; Kumar, Santosh; Tamang, Sonia; Thakur, Nagendra] Sikkim Univ, Dept Microbiol, Gangtok 737102, Sikkim, India; [Najar, Ishfaq Nabi] CSIR IIIM, Fermentat &amp; Microbial Biotechnol Div, Jammu 180001, Jammu &amp; Kashmir, India; [Mondal, Shubhadeep] Vidyasagar Univ, Ctr Life Sci, Midnapore 721102, West Bengal, India; [Halder, Suman Kumar] Vivekananda Mahavidyalaya, Dept Microbiol, Burdwan 713103, West Bengal, India</t>
  </si>
  <si>
    <t>Vidyasagar University; Sikkim University; Council of Scientific &amp; Industrial Research (CSIR) - India; CSIR - Indian Institute of Integrative Medicine (IIIM); Vidyasagar University</t>
  </si>
  <si>
    <t>Mondal, KC (corresponding author), Vidyasagar Univ, Dept Microbiol, Midnapore 721102, West Bengal, India.;Thakur, N (corresponding author), Sikkim Univ, Dept Microbiol, Gangtok 737102, Sikkim, India.</t>
  </si>
  <si>
    <t>10.1007/s43393-024-00271-x</t>
  </si>
  <si>
    <t>Jana, Sharmistha; Jana, Biswapati; Lu, Tzu Chuen; Thanh Nhan Vo</t>
  </si>
  <si>
    <t>Reversible data hiding scheme exploiting center folding with fuzzy weight strategy</t>
  </si>
  <si>
    <t>JOURNAL OF INFORMATION SECURITY AND APPLICATIONS</t>
  </si>
  <si>
    <t>[Jana, Sharmistha] Midnapore Coll Autonomous, Dept Math, Midnapore, Wb, India; [Jana, Biswapati] Vidyasagar Univ, Dept Comp Sci, Midnapore 721102, India; [Lu, Tzu Chuen; Thanh Nhan Vo] Chaoyang Univ Technol, Dept Informat Management, Taichung 41349, Taiwan; [Thanh Nhan Vo] Thu Dau Mot Univ, Inst Engn &amp; Technol, Binh Duong, Vietnam</t>
  </si>
  <si>
    <t>Midnapore College; Vidyasagar University; Chaoyang University of Technology; Thu Dau Mot University</t>
  </si>
  <si>
    <t>2214-2126</t>
  </si>
  <si>
    <t>2214-2134</t>
  </si>
  <si>
    <t>10.1016/j.jisa.2022.103276</t>
  </si>
  <si>
    <t>Das, Narasingha; Gangopadhyay, Partha; Bera, Pinki; Hossain, Md. Emran</t>
  </si>
  <si>
    <t>Investigating the nexus between carbonization and industrialization under Kaya's identity: findings from novel multivariate quantile on quantile regression approach</t>
  </si>
  <si>
    <t>[Das, Narasingha] Economists Peace &amp; Secur Australia Chapter, Sydney, Australia; [Gangopadhyay, Partha] Western Sydney Univ, Sch Business, Sydney, Australia; [Bera, Pinki] Vidyasagar Univ, Dept Econ, Midnapore 721102, West Bengal, India; [Hossain, Md. Emran] Bangladesh Agr Univ, Dept Agr Finance &amp; Banking, Mymensingh 2202, Bangladesh</t>
  </si>
  <si>
    <t>Western Sydney University; Vidyasagar University; Bangladesh Agricultural University (BAU)</t>
  </si>
  <si>
    <t>Hossain, ME (corresponding author), Bangladesh Agr Univ, Dept Agr Finance &amp; Banking, Mymensingh 2202, Bangladesh.</t>
  </si>
  <si>
    <t>10.1007/s11356-023-25413-x</t>
  </si>
  <si>
    <t>Multi-attribute group decision making method based on Pythagorean fuzzy Einstein interactive power averaging approach for sustainable cement industry</t>
  </si>
  <si>
    <t>[Paul, Tapas Kumar; Jana, Chiranjibe; Pal, Madhumangal] Vidyasagar Univ, Dept Appl Math Oceanol &amp; Comp Programming, Midnapore 721102, India; [Simic, Vladimir] Univ Belgrade, Fac Transport &amp; Traff Engn, VojvodeStepe 305, Belgrade 11010, Serbia; [Simic, Vladimir] Yuan Ze Univ, Coll Engn, Dept Ind Engn &amp; Management, Yuandong Rd, Taoyuan 320315, Taiwan</t>
  </si>
  <si>
    <t>Vidyasagar University; University of Belgrade; Yuan Ze University</t>
  </si>
  <si>
    <t>10.1016/j.asoc.2023.110898</t>
  </si>
  <si>
    <t>Dutta, B; Panja, AS; Nigam, VK; Nanjappan, SK; Ravichandiran, V; Bandopadhyay, R</t>
  </si>
  <si>
    <t>Dutta, Bhramar; Panja, Anindya Sundar; Nigam, Vinod Kumar; Nanjappan, Satheesh Kumar; Ravichandiran, Velayutham; Bandopadhyay, Rajib</t>
  </si>
  <si>
    <t>Computational and biochemical characterization of the immobilized esterase of Salinicoccus roseus for pesticide degradation</t>
  </si>
  <si>
    <t>Biodegradation; Chemical pesticides; Esterase; Genome analysis; Immobilization; Dynamics simulation.</t>
  </si>
  <si>
    <t>PYRETHROID-HYDROLYZING CARBOXYLESTERASE; ENZYME; NANOPARTICLES; PURIFICATION; ENTRAPMENT; EXPRESSION; CLONING; GENE</t>
  </si>
  <si>
    <t>The continuous exposure of chemical pesticides in agriculture, their contamination in soil and water pose serious threat to the environment. Current study used an approach to evaluate various pesticides like Hexaconazole, Mancozeb, Pretilachlor, Organophosphate and lambda-cyhalothrin degradation capability of esterase. The enzyme was isolated from Salinicoccus roseus. Genome analysis unveiled the carboxylesterase genes underlying the degradation of pesticides, and was located between 2070Mbp to 2080Mbp region. Herein, partially purified esterase was immobilized into beads by mixing with an equal volume (1:1) of sodium alginate solution [2.5% (w/v)].Scanning electron microscopy (SEM) of the beads showed the microspheres for enhanced enzyme-substrate reaction, wide peak at 3316, 1635 and 696 cm- 1 in Fourier-transform infrared spectroscopy (FTIR) represented intermolecular hydrogen bonding, and thermogravimetric analysis (TGA) reaffirmed the binding of esterase entrapped into the beads. Maximum degradation rate (after 4 days) for free enzyme accounted 83.2% in Hexaconazole. Degradation rate moderately increased 4% in the presence of immobilized esterase. Degradation products were detected by liquid chromatography-mass spectrometry (LC-MS). Cytotoxicity test (root length and mitotic index) revealed differences in various treatments. Enzyme kinetics parameters, Micha &amp; euml;lis-Menten constant (KM) 6.61 mM and maximum velocity (Vmax) 1.89 mu mol/min/mg increased after immobilization. Further, molecular docking results validated that esterase contributed to pesticide degradation by catalytic triad of Ser93-His222-Phe24, ligand interactions, and specific binding pockets. Additionally, molecular dynamics (MD) simulations confirmed the protein-ligand conformational stability. Hence, present study highlighted an effective method for improving the catalytic properties of esterase, and also potential candidate for bioremediation of pesticides.</t>
  </si>
  <si>
    <t>[Dutta, Bhramar; Bandopadhyay, Rajib] Univ Burdwan, Dept Bot, Purba Bardhaman 713104, W Bengal, India; [Panja, Anindya Sundar] Vidyasagar Univ, Oriental Inst Sci &amp; Technol, Postgrad Dept Biotechnol &amp; Biochem, Midnapore 721102, W Bengal, India; [Nigam, Vinod Kumar] Birla Inst Technol, Dept Bioengn &amp; Biotechnol, Ranchi 835215, Jharkhand, India; [Nanjappan, Satheesh Kumar; Ravichandiran, Velayutham] Natl Inst Pharmaceut Educ &amp; Res NIPER, Dept Nat Prod, Kolkata 700054, W Bengal, India</t>
  </si>
  <si>
    <t>University of Burdwan; Vidyasagar University; Birla Institute of Technology Mesra; National Institute of Pharmaceutical Education &amp; Research, S.A.S. Nagar (Mohali)</t>
  </si>
  <si>
    <t>Bandopadhyay, R (corresponding author), Univ Burdwan, Dept Bot, Purba Bardhaman 713104, W Bengal, India.</t>
  </si>
  <si>
    <t>10.1038/s41598-024-73165-6</t>
  </si>
  <si>
    <t>Singha, Krishanu; Banerjee, Amrita; Jana, Arijit; Bandyopadhyay, Poushali; Maiti, Smarajit; Pati, Bikas Ranjan; Mohapatra, Pradeep Kumar Das</t>
  </si>
  <si>
    <t>Molecular exposition of broad-spectrum antibacterial efficacy by p-coumaric acid from an edible mushroom Termitomyces heimii: in vitro and in silico approach</t>
  </si>
  <si>
    <t>[Singha, Krishanu; Pati, Bikas Ranjan] Vidyasagar Univ, Dept Microbiol, Midnapore 721102, West Bengal, India; [Banerjee, Amrita; Bandyopadhyay, Poushali; Maiti, Smarajit] Oriental Inst Sci &amp; Technol, Dept Biotechnol, Midnapore 721102, West Bengal, India; [Jana, Arijit] IIT Roorkee, Dept Chem Engn, Roorkee 247667, Uttarakhand, India; [Mohapatra, Pradeep Kumar Das] Raiganj Univ, Dept Microbiol, Raiganj 733134, West Bengal, India</t>
  </si>
  <si>
    <t>Vidyasagar University; Indian Institute of Technology System (IIT System); Indian Institute of Technology (IIT) - Roorkee</t>
  </si>
  <si>
    <t>Mohapatra, PKD (corresponding author), Raiganj Univ, Dept Microbiol, Raiganj 733134, West Bengal, India.</t>
  </si>
  <si>
    <t>10.1007/s43393-022-00146-z</t>
  </si>
  <si>
    <t>Chetty, D; Datta, A; Kumschick, S; Wilson, JRU; Nchu, F; Geerts, S</t>
  </si>
  <si>
    <t>Chetty, Duran; Datta, Arunava; Kumschick, Sabrina; Wilson, John R. U.; Nchu, Felix; Geerts, Sjirk</t>
  </si>
  <si>
    <t>Regulatory options for cultivars and hybrids of invasive plant species-the South African experience</t>
  </si>
  <si>
    <t>INVASIVE PLANT SCIENCE AND MANAGEMENT</t>
  </si>
  <si>
    <t>Invasive taxa; regulatory approaches; regulatory lists; stakeholder negotiations; sterile cultivars and hybrids</t>
  </si>
  <si>
    <t>ALIEN PLANTS; STERILE; HYBRIDIZATION; MANAGEMENT; FECUNDITY; IMPACTS; COMMUNITIES; EVOLUTION; PATTERNS; INSIGHTS</t>
  </si>
  <si>
    <t>Invasive plant taxa are generally regulated at the species level, without considering infra- or interspecific variation. However, cultivars or hybrids can pose a lower risk of invasion, for example, due to sterility. We evaluate six general approaches to regulating cultivars and hybrids: (1) Globally Guilty by Association; (2) Nationally Guilty by Association; (3) Guilty until Proven Innocent; (4) Negotiated Guilt; (5) Claimed to be Innocent; and (6) Innocent until Proven Guilty. We discuss these approaches in the context of South Africa (which has a typified Negotiated Guilt approach). Following negotiations since 2001 between the South African horticultural industry/green industry and legislators, an unofficial consensus list of presumed sterile cultivars and hybrids was produced in 2014 containing 187 entities from 34 taxa. In 2020, this was reduced to 157 entities from 16 taxa. But the evidence supporting the original lists and the subsequent revisions was not published. To address this issue, we developed a generic pro forma (template) for reporting sterility based on observations and/or experiments on: flowering, fruiting, pollen, and seeds; the potential for vegetative propagation; and the potential for genetic changes (including hybridization and reversion to fertility). We recommend that such information be incorporated into risk analyses conducted specifically for infra- and inter specific entities, and only if the risk of a harmful invasion is demonstrated to be acceptably low or can be easily mitigated should such entities be exempted from regulation. This will be time-consuming, but, by setting out the evidence clearly, the approach is transparent and provides a clear route for stakeholders to seek exemptions for entities of importance. In conclusion, although we suspect the simplicity of the Negotiated Guilt approach is desirable to many stakeholders, and is the approach currently adopted in South Africa, we recommend a shift toward the Guilty until Proven Innocent approach.</t>
  </si>
  <si>
    <t>[Chetty, Duran; Nchu, Felix] Cape Peninsula Univ Technol, Dept Hort Sci, Bellville Campus, Cape Town, South Africa; [Chetty, Duran; Datta, Arunava; Kumschick, Sabrina; Wilson, John R. U.] Kirstenbosch Res Ctr, South African Natl Biodivers Inst, Cape Town, South Africa; [Datta, Arunava] Vidyasagar Univ, Raja Narendralal Khan Womens Coll, Dept Bot, Gope Palace, Paschim Medinipur, India; [Datta, Arunava; Kumschick, Sabrina; Wilson, John R. U.] Stellenbosch Univ, Ctr Invas Biol, Dept Bot &amp; Zool, Stellenbosch, South Africa; [Geerts, Sjirk] Cape Peninsula Univ Technol, Dept Conservat &amp; Marine Sci, Cape Town, South Africa</t>
  </si>
  <si>
    <t>Cape Peninsula University of Technology; South African National Biodiversity Institute; Vidyasagar University; Stellenbosch University; Cape Peninsula University of Technology</t>
  </si>
  <si>
    <t>Chetty, D (corresponding author), Cape Peninsula Univ Technol, Dept Hort Sci, Bellville Campus, Cape Town, South Africa.;Chetty, D (corresponding author), Kirstenbosch Res Ctr, South African Natl Biodivers Inst, Cape Town, South Africa.</t>
  </si>
  <si>
    <t>1939-7291</t>
  </si>
  <si>
    <t>1939-747X</t>
  </si>
  <si>
    <t>10.1017/inp.2024.24</t>
  </si>
  <si>
    <t>Palanikumar, M.; Arulmozhi, K.; Jana, Chiranjibe</t>
  </si>
  <si>
    <t>Multiple attribute decision-making approach for Pythagorean neutrosophic normal interval-valued fuzzy aggregation operators</t>
  </si>
  <si>
    <t>[Palanikumar, M.] Annamalai Univ, Dept Math, Chennai 608002, Tamil Nadu, India; [Arulmozhi, K.] Bharath Inst Higher Educ &amp; Res, Chennai 600073, Tamil Nadu, India; [Jana, Chiranjibe] Vidyasagar Univ, Dept Appl Math Oceanol &amp; Comp Programming, Midnapore 721102, India</t>
  </si>
  <si>
    <t>Annamalai University; Bharath Institute of Higher Education &amp; Research; Vidyasagar University</t>
  </si>
  <si>
    <t>10.1007/s40314-022-01791-9</t>
  </si>
  <si>
    <t>Saha, S; Bera, B; Bhattacharjee, S; Ghosh, D; Tamang, L; Shit, PK; Sengupta, N</t>
  </si>
  <si>
    <t>Saha, Soumik; Bera, Biswajit; Bhattacharjee, Sumana; Ghosh, Debasis; Tamang, Lakpa; Shit, Pravat Kumar; Sengupta, Nairita</t>
  </si>
  <si>
    <t>Identification of the multiple causes of recent series of landslides and related damage by extreme rainfall and GLOF in Sikkim Himalaya, India, during October 2023</t>
  </si>
  <si>
    <t>LANDSLIDES</t>
  </si>
  <si>
    <t>Glacier lake outburst flood; Landslides; Teesta basin; Slope stability assessment</t>
  </si>
  <si>
    <t>GLACIAL LAKES; STABILITY ANALYSIS; HAZARD ASSESSMENT; SLOPE STABILITY; ROCK SLOPES; INVENTORY; IMAGE; RISK</t>
  </si>
  <si>
    <t>Flash flood after the breaching of South Lhonak Lake (glacier lake outburst flood (GLOF)) along with prolonged rainfall event in the first week of October 2023 significantly triggered numerous landslides along the side of the river, roads, and vulnerable slopes within the upper catchment of Teesta basin, Sikkim. In this paper, we present documentation on the occurrences of series of landslides just after the flood and heavy rainfall event in upper Teesta basin and try to find out the relevant causes. Primarily, flash flood due to glacial lake outburst and extensive rainfall accelerated series of landslides; however, the landslides are controlled by some other secondary factors including soil and slope condition, lithological diversity, geological discontinuities, and anthropogenic influences. The InSAR coherence analysis significantly shows the lowering of coherence value (decorrelation) in the moraine dam area within pre and post GLOF event which indicates breaching of the dam. The result of the slope stability assessment showed that majority slopes along the river Teesta are highly vulnerable with less safety factor and low cohesiveness of soil materials. Furthermore, the northern part of the MCT (Main Central Thrust) is composed by high-grade metamorphic rocks with exposed structures (high lineament density) that provoke landslides. Consequently, the result also highlighted that most of the slides along the side of Teesta occurred due to high water discharge and elevated gauge height after the GLOF event. Here, NH-10 (National Highway 10) runs on the high grade vulnerable litho-units and in between Dikchu and Chungthang, NH-10 is passing at the close proximity of river Teesta. So, different pockets of North Sikkim along the NH-10 were engulfed by high river discharge and gauge height due to large scale destruction of Chungthang Hydroelectric Power Plant constructed across the river Teesta.</t>
  </si>
  <si>
    <t>[Saha, Soumik; Bera, Biswajit] Sidho Kanho Birsha Univ, Sainik Sch, Dept Geog, Ranchi Rd,PO Purulia, Purulia 723104, India; [Bhattacharjee, Sumana] Univ Calcutta, Jogesh Chandra Chaudhuri Coll, Dept Geog, 30 Prince Anwar Shah Rd, Kolkata 700033, India; [Ghosh, Debasis; Tamang, Lakpa] Univ Calcutta, Dept Geog, Kolkata 700019, India; [Shit, Pravat Kumar] Vidyasagar Univ, Raja Narendralal Khan Womens Coll Autonomous, PG Dept Geog, Midnapore 721102, India; [Sengupta, Nairita] Diamond Harbour Womens Univ, Dept Geog, Sarisha 743368, India</t>
  </si>
  <si>
    <t>University of Calcutta; University of Calcutta; Vidyasagar University</t>
  </si>
  <si>
    <t>Bera, B (corresponding author), Sidho Kanho Birsha Univ, Sainik Sch, Dept Geog, Ranchi Rd,PO Purulia, Purulia 723104, India.</t>
  </si>
  <si>
    <t>1612-510X</t>
  </si>
  <si>
    <t>1612-5118</t>
  </si>
  <si>
    <t>10.1007/s10346-024-02370-1</t>
  </si>
  <si>
    <t>Engineering, Geological; Geosciences, Multidisciplinary</t>
  </si>
  <si>
    <t>Engineering; Geology</t>
  </si>
  <si>
    <t>Bhunia, Amit Kumar; Ghosh, Tilak Narayan; Bhunia, Khokan; Saha, Satyajit</t>
  </si>
  <si>
    <t>Nonlinear alternating current conduction study in manganese-doped zinc oxide nanocapsules and nanoplates</t>
  </si>
  <si>
    <t>APPLIED PHYSICS A-MATERIALS SCIENCE &amp; PROCESSING</t>
  </si>
  <si>
    <t>[Bhunia, Amit Kumar] Govt Gen Degree Coll Gopiballavpur 2, Dept Phys, Jhargram 721517, West Bengal, India; [Ghosh, Tilak Narayan] Midnapore Coll Autonomous, Dept Elect, Midnapore 721101, West Bengal, India; [Bhunia, Khokan] Univ Burdwan, Dept Phys, Burdwan 713104, West Bengal, India; [Saha, Satyajit] Vidyasagar Univ, Dept Phys, Paschim Medinipur 721102, West Bengal, India</t>
  </si>
  <si>
    <t>Midnapore College; University of Burdwan; Vidyasagar University</t>
  </si>
  <si>
    <t>0947-8396</t>
  </si>
  <si>
    <t>1432-0630</t>
  </si>
  <si>
    <t>APPL PHYS A-MATER</t>
  </si>
  <si>
    <t>Appl. Phys. A-Mater. Sci. Process.</t>
  </si>
  <si>
    <t>10.1007/s00339-022-06373-4</t>
  </si>
  <si>
    <t>Jana, Arijit; Kakkar, Nikita; Halder, Suman Kumar; Das, Amar Jyoti; Bhaskar, Thallada; Ray, Anjan; Ghosh, Debashish</t>
  </si>
  <si>
    <t>Efficient valorization of feather waste by Bacillus cereus IIPK35 for concomitant production of antioxidant keratin hydrolysate and milk-clotting metallo-serine keratinase</t>
  </si>
  <si>
    <t>[Jana, Arijit; Kakkar, Nikita; Halder, Suman Kumar; Das, Amar Jyoti; Bhaskar, Thallada; Ray, Anjan; Ghosh, Debashish] CSIR Indian Inst Petr, Mat Resource Efficiency Div, Dehra Dun 248005, India; [Kakkar, Nikita] Banasthali Vidyapith, Dept Biosci &amp; Biotechnol, Jaipur 304022, Rajasthan, India; [Halder, Suman Kumar] Vidyasagar Univ, Dept Microbiol, Midnapore 721102, W Bengal, India; [Bhaskar, Thallada; Ray, Anjan; Ghosh, Debashish] Acad Sci &amp; Innovat Res AcSIR, CSIR HRDC Campus, Ghaziabad 210002, Uttar Pradesh, India</t>
  </si>
  <si>
    <t>Council of Scientific &amp; Industrial Research (CSIR) - India; CSIR - Indian Institute of Petroleum (IIP); Banasthali Vidyapith; Vidyasagar University; Academy of Scientific &amp; Innovative Research (AcSIR)</t>
  </si>
  <si>
    <t>Ghosh, D (corresponding author), CSIR Indian Inst Petr, Mat Resource Efficiency Div, Dehra Dun 248005, India.</t>
  </si>
  <si>
    <t>10.1016/j.jenvman.2022.116380</t>
  </si>
  <si>
    <t>Mondal, Subhadeep; Biswal, Divyajyoti; Pal, Kalyanbrata; Rakshit, Subham; Halder, Suman Kumar; Mandavgane, Sachin A.; Bera, Debabrata; Hossain, Maidul; Mondal, Keshab Chandra</t>
  </si>
  <si>
    <t>Biodeinking of waste papers using combinatorial fungal enzymes and subsequent production of butanol from effluent</t>
  </si>
  <si>
    <t>[Mondal, Subhadeep] Vidyasagar Univ, Ctr Life Sci, Midnapore 721102, W Bengal, India; [Biswal, Divyajyoti; Mandavgane, Sachin A.] Visvesvaraya Natl Inst Technol, Nagpur 440010, Maharashtra, India; [Pal, Kalyanbrata; Rakshit, Subham; Halder, Suman Kumar; Mondal, Keshab Chandra] Vidyasagar Univ, Dept Microbiol, Midnapore 721102, W Bengal, India; [Bera, Debabrata] Jadavpur Univ, Food Technol &amp; Biochem Engn, Kolkata 700032, India; [Hossain, Maidul] Vidyasagar Univ, Dept Chem, Midnapore 721102, W Bengal, India</t>
  </si>
  <si>
    <t>Vidyasagar University; National Institute of Technology (NIT System); Visvesvaraya National Institute of Technology, Nagpur; Vidyasagar University; Jadavpur University; Vidyasagar University</t>
  </si>
  <si>
    <t>10.1016/j.biortech.2022.127078</t>
  </si>
  <si>
    <t>Boddu, Raja Sarath Kumar; Karmakar, Partha; Bhaumik, Ankan; Nassa, Vinay Kumar; Vandana; Bhattacharya, Sumanta</t>
  </si>
  <si>
    <t>Analyzing the impact of machine learning and artificial intelligence and its effect on management of lung cancer detection in covid-19 pandemic</t>
  </si>
  <si>
    <t>MATERIALS TODAY-PROCEEDINGS</t>
  </si>
  <si>
    <t>[Boddu, Raja Sarath Kumar] Lenora Coll Engn, Dept CSE, Rampachodavaram, Andhra Pradesh, India; [Karmakar, Partha] Govt West Bengal, Kolkata, WB, India; [Bhaumik, Ankan] Vidyasagar Univ, Dept Appl Math Oceanol &amp; Comp Programming, Midnapore, India; [Nassa, Vinay Kumar] South Point Grp Inst Sonepat, Dept Comp Sci Engn, Sonepat, Haryana, India; [Vandana] Dasmesh Khalsa Coll, Dept Math, Zirakpur, India; [Bhattacharya, Sumanta] MAKAUT, Dept Sci &amp; Technol &amp; Biotechnol, Kolkata, India</t>
  </si>
  <si>
    <t>Vandana (corresponding author), Dasmesh Khalsa Coll, Dept Math, Zirakpur, India.</t>
  </si>
  <si>
    <t>2214-7853</t>
  </si>
  <si>
    <t>MATER TODAY-PROC</t>
  </si>
  <si>
    <t>Mater. Today-Proc.</t>
  </si>
  <si>
    <t>10.1016/j.matpr.2021.11.549</t>
  </si>
  <si>
    <t>Kundu, A; Dutta, D; Patel, NR; Denis, DM</t>
  </si>
  <si>
    <t>Kundu, Arnab; Dutta, Dipanwita; Patel, N. R.; Denis, Derrick Mario</t>
  </si>
  <si>
    <t>Drought Dynamics: Enhanced Characterization Through Hyper-Temporal Satellite Observations</t>
  </si>
  <si>
    <t>Bundelkhand region of India; drought characterization; SPOT-VGT datasets; VCI; vegetation stress</t>
  </si>
  <si>
    <t>CONDITION INDEX VCI; AGRICULTURAL DROUGHT; FREQUENCY-ANALYSIS; METEOROLOGICAL DROUGHT; LANDSAT DATA; AVHRR DATA; VEGETATION; DURATION; SEVERITY; INTENSITY</t>
  </si>
  <si>
    <t>Drought is a multifaceted hazard, influenced directly or indirectly by factors such as precipitation, evapo-transpiration, soil moisture content and groundwater levels. Drought dynamics is fundamentally linked to hydrological processes, as droughts directly impact water availability, soil moisture and overall hydrological balance. Given the global climate change and consequent increasing frequency of extreme events, assessing the vulnerability to drought stress in underprivileged areas has become highly relevant. In this context, drought characterization has become crucial for understanding the complex patterns of droughts and its impacts on agriculture, ecosystems and communities, thereby contributing to food security, environmental sustainability and disaster preparedness. The major goal of this study was to evaluate the onset, duration, frequency and extent of agricultural drought using satellite-based datasets. The hyper-temporal Syst &amp; egrave;me Pour l'Observation de la Terre (SPOT) VEGETATION (VGT) Normalized Difference Vegetation Index (NDVI) data were used in this study to quantify the drought related stress on vegetation cover. The spatial extent of drought and its pattern were estimated using the long-term Vegetation Condition Index (VCI) derived from hyper-temporal SPOT-VGT NDVI datasets. Notably, strong agreement was found between the estimations of onset and duration, particularly during severe drought years such as 2002 and 2008. The study reveals that more over 95% of the total area encountered severe crop stress before the second week of July in 1999, 2002 and 2008, which are identified as severe drought years in the region. The frequency maps effectively captured the occurrence of drought events over a sixteen-year span, highlighting distinct drought episodes in the study area and underscoring the significant prevalence of drought stress across a considerable area. The high r2 (0.61) value indicates a significant level of shared variability between VCI and yield of major crops, demonstrating their consistent alignment in capturing vegetation health and crop yield anomalies. The comprehensive delineation of drought patterns in the Bundelkhand region revealed by this study is potential for future preparedness efforts, enabling strategic planning and facilitating the implementation of sustainable policy interventions.</t>
  </si>
  <si>
    <t>[Kundu, Arnab] Bankura Univ, Dept Geoinformat, Pandit Raghunath Murmu Smriti Mahavidyalaya, Bankura, W Bengal, India; [Dutta, Dipanwita] Vidyasagar Univ, Dept Remote Sensing &amp; GIS, Midnapore, W Bengal, India; [Patel, N. R.] Indian Inst Remote Sensing ISRO, Dept Agr &amp; Soil, Dehra Dun, Uttaranchal, India; [Denis, Derrick Mario] Sam Higginbottom Univ Agr Technol &amp; Sci, Dept Irrigat &amp; Drainage Engn, Prayagraj, Uttar Pradesh, India</t>
  </si>
  <si>
    <t>Vidyasagar University; Department of Space (DoS), Government of India; Indian Space Research Organisation (ISRO); Indian Institute of Remote Sensing (IIRS); Sam Higginbottom University of Agriculture, Technology &amp; Sciences</t>
  </si>
  <si>
    <t>10.1002/hyp.70015</t>
  </si>
  <si>
    <t>Nandi, Laxmikanta; Barman, Shovan; Das, Arindam; Brandao, Paula; Zangrando, Ennio; Basu, Anirban; Dalai, Sudipta</t>
  </si>
  <si>
    <t>3D Ag(I) coordination polymer sandwiched by water-muconate anionic layers: Synthesis, structure, Hirshfeld surface analysis, binding with BSA, and photocatalytic activity</t>
  </si>
  <si>
    <t>[Nandi, Laxmikanta; Barman, Shovan; Das, Arindam; Basu, Anirban; Dalai, Sudipta] Vidyasagar Univ, Dept Chem, Midnapore 721102, W Bengal, India; [Brandao, Paula] Univ Aveiro, Dept Quim Inst Mat Aveiro, CICECO, P-3810193 Aveiro, Portugal; [Zangrando, Ennio] Univ Trieste, Dept Chem &amp; Pharmaceut Sci, I-34127 Trieste, Italy</t>
  </si>
  <si>
    <t>Vidyasagar University; Universidade de Aveiro; University of Trieste</t>
  </si>
  <si>
    <t>Basu, A; Dalai, S (corresponding author), Vidyasagar Univ, Dept Chem, Midnapore 721102, W Bengal, India.</t>
  </si>
  <si>
    <t>10.1016/j.molstruc.2023.136291</t>
  </si>
  <si>
    <t>Samui, R; Acharyya, S; Bhunia, AK; Saha, S; Guha, PK</t>
  </si>
  <si>
    <t>Samui, Rajesh; Acharyya, Snehanjan; Bhunia, Amit Kumar; Saha, Satyajit; Guha, Prasanta Kumar</t>
  </si>
  <si>
    <t>SnSe Nanoflakes for a NO2 Sensor at Room Temperature</t>
  </si>
  <si>
    <t>semiconductor; tin selenide; nanoflakes; room temperature; NO2; gas sensor</t>
  </si>
  <si>
    <t>METAL-OXIDES; GAS SENSORS; VOCS; MONOLAYER</t>
  </si>
  <si>
    <t>Tin selenide (SnSe) is gaining significant interest in the scientific research community by virtue of its fascinating electrical, chemical, and physical characteristics. Surprisingly, the incorporation of SnSe in the area of gas sensors has been very little explored. Due to its distinctive properties, SnSe can be utilized as an effective material to detect nitric oxide (NO2) at ambient temperature. In this paper, we report the optimized synthesis of SnSe nanostructures through a low-cost hydrothermal method and their employment as a sensing material for NO2 detection (400 ppb to 1 ppm). Different structures (nanoparticles, nanoflakes, and nanoflowers) were obtained depending upon varied growth times (12, 16, and 20 h). An extensive material characterization study was performed, evidencing the formation of the desired structure and morphology of SnSe. The optimum sensor (S_16) exhibited a response of 12.11 in the presence of 1 ppm of NO2 at room temperature (25 degrees C) along with promising reversibility. The theoretical limit of detection was found to be 116 ppb. The sensor offered excellent sensitivity and selectivity due to its high interactive tendency with NO2 molecules. The demonstrated work paves the way for an adequate alternative utilizing SnSe as a sensing material for room-temperature-operated selective gas sensors.</t>
  </si>
  <si>
    <t>[Samui, Rajesh; Saha, Satyajit] Vidyasagar Univ, Dept Phys, Midnapore 721102, India; [Acharyya, Snehanjan] Indian Inst Technol, Biosci &amp; Bioengn, Mumbai 400076, India; [Bhunia, Amit Kumar] Govt Gen Degree Coll Gopiballavpur 2, Dept Phys, Jhargram 721517, India; [Guha, Prasanta Kumar] Indian Inst Technol Kharagpur, Elect &amp; Elect Commun Engn, Kharagpur 721302, India</t>
  </si>
  <si>
    <t>Vidyasagar University; Indian Institute of Technology System (IIT System); Indian Institute of Technology (IIT) - Bombay; Indian Institute of Technology System (IIT System); Indian Institute of Technology (IIT) - Kharagpur</t>
  </si>
  <si>
    <t>Saha, S (corresponding author), Vidyasagar Univ, Dept Phys, Midnapore 721102, India.;Acharyya, S (corresponding author), Indian Inst Technol, Biosci &amp; Bioengn, Mumbai 400076, India.;Guha, PK (corresponding author), Indian Inst Technol Kharagpur, Elect &amp; Elect Commun Engn, Kharagpur 721302, India.</t>
  </si>
  <si>
    <t>10.1021/acsanm.4c05653</t>
  </si>
  <si>
    <t>JAN 5</t>
  </si>
  <si>
    <t>Pakrashy, Sourav; Mandal, Prakash K.; Goswami, Juli Nanda; Dey, Surya Kanta; Choudhury, Sujata Maiti; Bhattacharya, Biswajit; Emmerling, Franziska; Alasmary, Fatmah Ali; Dolai, Malay</t>
  </si>
  <si>
    <t>Bioinformatics and Network Pharmacology of the First Crystal Structured Clerodin: Anticancer and Antioxidant Potential against Human Breast Carcinoma Cell</t>
  </si>
  <si>
    <t>[Pakrashy, Sourav; Mandal, Prakash K.; Goswami, Juli Nanda; Dolai, Malay] Prabhat Kumar Coll, Dept Chem, Contai 721404, West Bengal, India; [Dey, Surya Kanta; Choudhury, Sujata Maiti] Vidyasagar Univ, Dept Human Physiol, Biochem Mol Endocrinol &amp; Reprod Physiol Lab, Midnapore 721102, India; [Bhattacharya, Biswajit; Emmerling, Franziska] BAM Fed Inst Mat Res &amp; Testing, D-12489 Berlin, Germany; [Alasmary, Fatmah Ali] King Saud Univ, Coll Sci, Dept Chem, Riyadh 11451, Saudi Arabia</t>
  </si>
  <si>
    <t>Vidyasagar University; Federal Institute for Materials Research &amp; Testing; King Saud University</t>
  </si>
  <si>
    <t>Dolai, M (corresponding author), Prabhat Kumar Coll, Dept Chem, Contai 721404, West Bengal, India.</t>
  </si>
  <si>
    <t>10.1021/acsomega.2c07173</t>
  </si>
  <si>
    <t>Banerjee, S; Chakraborty, A; Armenteras, D; Dutta, D; Kundu, A; Datta, D</t>
  </si>
  <si>
    <t>Banerjee, Surajit; Chakraborty, Antarlina; Armenteras, Dolors; Dutta, Dipanwita; Kundu, Arnab; Datta, Debajit</t>
  </si>
  <si>
    <t>Vegetation, Soil, and Livelihoods: The Complex Effects of Forest Fires on Eastern India's Dry Deciduous Forests</t>
  </si>
  <si>
    <t>LAND DEGRADATION &amp; DEVELOPMENT</t>
  </si>
  <si>
    <t>anthropogenic forest fire; forest-dependent community; nontimber forest product; soil nutrient pool; vegetation structure and composition</t>
  </si>
  <si>
    <t>ANTHROPOGENIC CLIMATE-CHANGE; CARBON STOCKS; WESTERN-GHATS; ECOSYSTEMS; MANAGEMENT; TEMPERATE; WILDFIRE; IMPACTS; REGIMES</t>
  </si>
  <si>
    <t>This study, conducted in fire-prone dry deciduous forests of Ajodhya and Susunia hills, aims to assess the diverse impacts of forest fire events on vegetation health, soil nutrient balance, and availability of nontimber forest products (NTFPs) that conjointly modulate the livelihoods of local communities. Vegetation health and soil nutrient pool were assessed through transect sampling at both fire-affected (FA) and fire-unaffected (FU) forest plots of the study area. Two depths (D1: 0-15 cm, D2: 15-30 cm) were considered for soil sampling. Vegetation parameters like basal area, canopy cover, above-ground biomass, species diversity, and tree density were significantly lower (p &lt; 0.01) in FA compared to FU. Organic C and available N were significantly lower (p &lt; 0.01) at D1 of soils in FA than in FU. Significant differences were found in organic C (p &lt; 0.01), available N (p &lt; 0.001), and available P (p &lt; 0.01) contents of FA and FU plots at D2. Participatory appraisals conducted among the neighboring forest-dependent communities indicated that almost every forest fire event was human-induced. These adversely affected extraction of Shorea robusta leaves, fuelwood, wild mushrooms, Madhuca indica fruits, etc. Conversely, Diospyros melanoxylon leaf production increased after 2-3 weeks of fire due to clearing up of hitherto untapped forestlands. Cumulatively, this study uniquely attempts to contextualize the environmental impacts of fire with its socio-economic ramifications as evident from degrading natural resources, scarcity of essential NTFPs, and escalation in number plus intensity of human-animal conflicts.</t>
  </si>
  <si>
    <t>[Banerjee, Surajit; Chakraborty, Antarlina; Datta, Debajit] Jadavpur Univ, Dept Geog, Landscape Ecol Lab, Kolkata, W Bengal, India; [Banerjee, Surajit] Mizoram Univ, Dept Geog &amp; Resource Management, Aizawl, Mizoram, India; [Armenteras, Dolors] Univ Nacl Colombia, Fac Ciencias, Dept Biol, Lab Ecol Paisaje &amp; Modelac Ecosistemas ECOLMOD, Bogota, Colombia; [Dutta, Dipanwita] Vidyasagar Univ, Dept Remote Sensing &amp; GIS, Midnapore, W Bengal, India; [Kundu, Arnab] Bankura Univ, PRMS Mahavidyalaya, Dept Geoinformat, Bankura, W Bengal, India</t>
  </si>
  <si>
    <t>Jadavpur University; Mizoram University; Universidad Nacional de Colombia; Vidyasagar University</t>
  </si>
  <si>
    <t>Datta, D (corresponding author), Jadavpur Univ, Dept Geog, Landscape Ecol Lab, Kolkata, W Bengal, India.</t>
  </si>
  <si>
    <t>1085-3278</t>
  </si>
  <si>
    <t>1099-145X</t>
  </si>
  <si>
    <t>10.1002/ldr.5335</t>
  </si>
  <si>
    <t>Environmental Sciences; Soil Science</t>
  </si>
  <si>
    <t>Environmental Sciences &amp; Ecology; Agriculture</t>
  </si>
  <si>
    <t>Sen, K.; Dutta, S.; Halder, S. K.; Pati, B.; Goldar, S.; Patar, S.; Bharati, D. R. S.; Patsa, R.; Ghorai, A. K.; Sarker, K.; Kumar, R.; Ray, K.; Borah, T. R.; Ray, S. K.; Barman, A. R.</t>
  </si>
  <si>
    <t>Influence of cropping sequences on soil suppressive/conduciveness against Sclerotium rolfsii in different agro-climatic zones of West Bengal, India</t>
  </si>
  <si>
    <t>JOURNAL OF ENVIRONMENTAL BIOLOGY</t>
  </si>
  <si>
    <t>[Sen, K.; Halder, S. K.; Pati, B.; Sarker, K.] Vidyasagar Univ, Dept Microbiol, Midnapore 721102, India; [Sen, K.; Dutta, S.; Goldar, S.; Patar, S.; Bharati, D. R. S.; Patsa, R.; Ghorai, A. K.; Sarker, K.; Kumar, R.; Ray, K.; Borah, T. R.; Ray, S. K.; Barman, A. R.] Bidhan Chandra Krishi Viswavidyalaya, Dept Plant Pathol, Mohanpur 741252, India; [Borah, T. R.] ICAR Res Complex NEH Reg, Umiam 793103, Meghalaya, India; [Barman, A. R.] Bidhan Chandra Krishi Viswavidyalaya, RRS CSZ, South 24, Kakdwip 743347, India; [Kumar, R.] Centurion Univ Technol &amp; Management, MS Swaminathan Sch Agr, Dept Plant Pathol, Paralakhemundi 761211, India</t>
  </si>
  <si>
    <t>Vidyasagar University; Bidhan Chandra Agricultural University; Indian Council of Agricultural Research (ICAR); ICAR - ICAR Research Complex for NEH Region; Bidhan Chandra Agricultural University; Centurion University of Technology &amp; Management</t>
  </si>
  <si>
    <t>Halder, SK (corresponding author), Vidyasagar Univ, Dept Microbiol, Midnapore 721102, India.</t>
  </si>
  <si>
    <t>TRIVENI ENTERPRISES</t>
  </si>
  <si>
    <t>LUCKNOW</t>
  </si>
  <si>
    <t>C/O KIRAN DALELA, 1/206 VIKAS NAGAR, KURSI RD, LUCKNOW 226 022, INDIA</t>
  </si>
  <si>
    <t>0254-8704</t>
  </si>
  <si>
    <t>2394-0379</t>
  </si>
  <si>
    <t>10.22438/jeb/44/5/MRN-5075</t>
  </si>
  <si>
    <t>Bhattacharya, Manojit; Sharma, Ashish Ranjan; Ghosh, Pratik; Patra, Prasanta; Patra, Bidhan Chandra; Lee, Sang-Soo; Chakraborty, Chiranjib</t>
  </si>
  <si>
    <t>Bioengineering of Novel Non-Replicating mRNA (NRM) and Self-Amplifying mRNA (SAM) Vaccine Candidates Against SARS-CoV-2 Using Immunoinformatics Approach</t>
  </si>
  <si>
    <t>[Bhattacharya, Manojit] Fakir Mohan Univ, Dept Zool, Balasore 756020, Odisha, India; [Sharma, Ashish Ranjan; Lee, Sang-Soo] Hallym Univ, Inst Skeletal Aging &amp; Orthoped Surg, Chuncheon Sacred Heart Hosp, Chuncheon Si 24252, Gangwon Do, South Korea; [Ghosh, Pratik; Patra, Prasanta; Patra, Bidhan Chandra] Vidyasagar Univ, Dept Zool, Midnapore 721102, W Bengal, India; [Chakraborty, Chiranjib] Adamas Univ, Sch Life Sci &amp; Biotechnol, Dept Biotechnol, Barasat Barrackpore Rd, Kolkata 700126, W Bengal, India</t>
  </si>
  <si>
    <t>Fakir Mohan University; Hallym University; Vidyasagar University</t>
  </si>
  <si>
    <t>Chakraborty, C (corresponding author), Adamas Univ, Sch Life Sci &amp; Biotechnol, Dept Biotechnol, Barasat Barrackpore Rd, Kolkata 700126, W Bengal, India.</t>
  </si>
  <si>
    <t>10.1007/s12033-021-00432-6</t>
  </si>
  <si>
    <t>Ali, MS; El Moumni, H; Khalloufi, J; Masmar, K</t>
  </si>
  <si>
    <t>Ali, Md Sabir; El Moumni, Hasan; Khalloufi, Jamal; Masmar, Karima</t>
  </si>
  <si>
    <t>Topology of Born-Infeld-AdS black hole phase transitions: Bulk and CFT sides</t>
  </si>
  <si>
    <t>ANNALS OF PHYSICS</t>
  </si>
  <si>
    <t>Born-Infeld-AdS black hole; Phase transitions; Topology; Conformal field theory</t>
  </si>
  <si>
    <t>TELESCOPE RESULTS. I.; THERMODYNAMICS; SHADOW; COMPLEXITY; BEHAVIOR; GRAVITY</t>
  </si>
  <si>
    <t>The thermodynamic criticality of the AdS black holes serves as an important structure during the thermal phase transition. This paper discusses about the critical points and their topology during thermal phase transitions of the Born-Infeld AdS black holes. We make such investigations using two different topological approaches, namely, using Duan's topological current phi-mapping theory, and the off-shell free energy. Within Duan's formalism, we observe that for a given value of the Born-Infeld parameter b, there exists an associated electric charge parameter Q, which is highly sensitive to the topological phase transitions. This way we examine the connections of the first-order phase transition and the topological nature of the critical points. We find that the topological nature has a possible breakdown in certain parametric ranges. In effect, we determine the unconventional and the conventional phase critical points as the creation (topologically vortex) and annihilation (topologically anti-vortex) points (pairs). As the second approach, we call the off-shell free energy to determine the topological classes: of which one corresponds to the AdS-Schwarzschild black hole phases, while the other provides a possible topological phase transition. Here we also reveal a novel phase transition between two unstable phases, namely, the unstable small black hole and the intermediate black holes. For certain parametric values of the Born-Infeld parameter and the pressure, we also study the different topological descriptions that inevitably correspond to the AdS-Reissner-Nordstrm black hole phases. As a consistency check of the critical points during the topological phase transitions, we study the vortex/anti-vortex annihilation thermodynamics from local as well as global thermodynamic viewpoints. At the end, a special emphasis has been put on phase transition from the conformal field theory perspective revealing that the Born-Infeld-AdS black hole and its dual CFT share identical topology. Consequently, any topological transition that occurs in the bulk corresponds to a parallel transition in the dual CFT.</t>
  </si>
  <si>
    <t>[Ali, Md Sabir] Lanzhou Univ, Lanzhou Ctr Theoret Phys, Key Lab Quantum Theory &amp; Applicat MoE, Lanzhou 730000, Peoples R China; [Ali, Md Sabir] Lanzhou Univ, Inst Theoret Phys, Key Lab Theoret Phys Gansu Prov, Lanzhou 730000, Peoples R China; [Ali, Md Sabir] Lanzhou Univ, Res Ctr Gravitat, Lanzhou 730000, Peoples R China; [Ali, Md Sabir] Lanzhou Univ, Sch Phys Sci &amp; Technol, Lanzhou 730000, Peoples R China; [Ali, Md Sabir] Vidyasagar Univ, Mahishadal Raj Coll, Dept Phys, Medinipur 721628, West Bengal, India; [El Moumni, Hasan; Khalloufi, Jamal] Ibnou Zohr Univ, Fac Sci, Phys Dept, LPTHE, BP 8106, Agadir, Morocco; [Masmar, Karima] HASSAN II Univ, Fac Sci Ain Chock, Lab High Energy Phys &amp; Condensed Matter, BP 5366, Casablanca, Morocco</t>
  </si>
  <si>
    <t>Lanzhou University; Lanzhou University; Lanzhou University; Lanzhou University; Vidyasagar University; Ibn Zohr University of Agadir; Hassan II University of Casablanca</t>
  </si>
  <si>
    <t>El Moumni, H (corresponding author), Ibnou Zohr Univ, Fac Sci, Phys Dept, LPTHE, BP 8106, Agadir, Morocco.</t>
  </si>
  <si>
    <t>0003-4916</t>
  </si>
  <si>
    <t>1096-035X</t>
  </si>
  <si>
    <t>10.1016/j.aop.2024.169679</t>
  </si>
  <si>
    <t>Beg, MM; Roy, SM; Moulick, S; Mandal, B; Kim, T; Mal, BC</t>
  </si>
  <si>
    <t>Beg, Mirza Masum; Roy, Subha; Moulick, Sanjib; Mandal, Basudev; Kim, Taeho; Mal, Bimal</t>
  </si>
  <si>
    <t>Economic feasibility study of organic and conventional fish farming systems of Indian major carps</t>
  </si>
  <si>
    <t>BASS DICENTRARCHUS-LABRAX; GROWTH-PERFORMANCE; DESIGN CHARACTERISTICS; FED DIETS; AQUACULTURE; QUALITY; TRENDS; WASTE; WATER; MEAL</t>
  </si>
  <si>
    <t>Organic aquaculture is a new approach in the modern farming system. As the capital investment is higher for setting up the organic aquaculture, it is essential to conduct an economic feasibility study with compare the conventional farming system. In the current study, economic feasibility of culturing Indian major carps (IMC) using conventional culture system and organic culture system (OCS) were evaluated. IMC was cultured for three consecutive years from 2017 to 2019 in experimental ponds of 0.015 hectare (ha) area each. The crude protein content of the organic and conventional feed was maintained at the same iso-nitrogenous level (32% crude protein) but the highest production to the tune of 19 tons per ha was obtained in OCS. Further, in case of OCS, apart from fish production, vermicomposting to the tune of 45,000 kg ha-1 in the first year, and 90,000 kg ha-1 from second year onward is achievable by installing a vermicomposting unit of 200 tons annual capacity. Economic analysis of the culture systems assuming a project period of 10 years showed that the highest net present value (NPV) of 1.06 million USD, a payback period of one year and nine months and an internal rate of return (IRR) of 51% are achievable per ha of fish culture pond for OCS. Sensitivity analysis of various costs performed for OCS revealed that profitability of the organic fish farming investment is most sensitive to the total fish production and sale price of the organic fishes. In terms of production of fish and economics of organic culture system is proved to be the best available technique.</t>
  </si>
  <si>
    <t>[Beg, Mirza Masum; Mandal, Basudev] Vidyasagar Univ, Dept Fisheries Sci, Midnapore 721102, West Bengal, India; [Roy, Subha; Kim, Taeho] Chonnam Natl Univ, Smart Aquaculture Res Ctr, Yeosu 59626, South Korea; [Moulick, Sanjib] KIIT Deemed Univ, Sch Civil Engn, Bhubaneswar 751024, Odisha, India; [Mal, Bimal] Agr &amp; Food Engn Dept, IIT Kharagpur, Kharagpur 721302, West Bengal, India</t>
  </si>
  <si>
    <t>Vidyasagar University; Chonnam National University; Kalinga Institute of Industrial Technology (KIIT); Indian Institute of Technology System (IIT System); Indian Institute of Technology (IIT) - Kharagpur</t>
  </si>
  <si>
    <t>Roy, SM (corresponding author), Chonnam Natl Univ, Smart Aquaculture Res Ctr, Yeosu 59626, South Korea.</t>
  </si>
  <si>
    <t>10.1038/s41598-024-56432-4</t>
  </si>
  <si>
    <t>Palanikumar, M.; Arulmozhi, K.; Al-Shanqiti, Omaima; Jana, Chiranjibe; Pal, Madhumangal</t>
  </si>
  <si>
    <t>Multiple Attribute Trigonometric Decision-Making and Its Application to the Selection of Engineers</t>
  </si>
  <si>
    <t>[Palanikumar, M.] Saveetha Inst Med &amp; Tech Sci, Saveetha Sch Engn, Dept Math, Chennai 602105, India; [Arulmozhi, K.] Bharath Inst Higher Educ &amp; Res, Dept Math, Chennai 600073, India; [Al-Shanqiti, Omaima] Umm Al Qura Univ, Dept Appl Sci, Mecca 24341, Saudi Arabia; [Jana, Chiranjibe; Pal, Madhumangal] Vidyasagar Univ, Dept Appl Math Oceanol &amp; Comp Programming, Midnapore 721102, India</t>
  </si>
  <si>
    <t>Saveetha Institute of Medical &amp; Technical Science; Saveetha School of Engineering; Bharath Institute of Higher Education &amp; Research; Umm Al Qura University; Vidyasagar University</t>
  </si>
  <si>
    <t>10.1155/2023/5269421</t>
  </si>
  <si>
    <t>Karan, Putul; Shit, Basudev; Panja, Poulami; Khatun, Amina; Pal, Jagannath; Chakarabarti, Sudipta; Pal, Sutanuka; Ghosh, Avishek; Hossain, Maidul</t>
  </si>
  <si>
    <t>Synthesis of water-soluble novel bioactive pyridine-based azo coumarin derivative and competitive cytotoxicity, DNA binding, BSA binding study, and in silico analysis with coumarin</t>
  </si>
  <si>
    <t>BIOORGANIC CHEMISTRY</t>
  </si>
  <si>
    <t>[Karan, Putul; Pal, Jagannath; Ghosh, Avishek] Midnapore City Coll, Dept Chem, PaschimMedinipur 721129, West Bengal, India; [Shit, Basudev; Hossain, Maidul] Vidyasagar Univ, Dept Chem &amp; Chem Technol, Midnapore 721102, West Bengal, India; [Panja, Poulami] Indian Inst Technol, Dept Chem, Kharagpur 721302, West Bengal, India; [Pal, Sutanuka] SutanukaPal TCG Life Sci, Salt Lake Sect 5, Kolkata 700091, India; [Khatun, Amina; Chakarabarti, Sudipta] Midnapore City Coll, Dept Biol Sci, PaschimMedinipur 721129, West Bengal, India; [Karan, Putul; Khatun, Amina; Pal, Jagannath; Chakarabarti, Sudipta; Ghosh, Avishek] Midnapore City Coll, PaschimMedinipur 721129, West Bengal, India</t>
  </si>
  <si>
    <t>Ghosh, A (corresponding author), Midnapore City Coll, Dept Chem, PaschimMedinipur 721129, West Bengal, India.;Hossain, M (corresponding author), Vidyasagar Univ, Dept Chem &amp; Chem Technol, Midnapore 721102, West Bengal, India.;Ghosh, A (corresponding author), Midnapore City Coll, PaschimMedinipur 721129, West Bengal, India.</t>
  </si>
  <si>
    <t>0045-2068</t>
  </si>
  <si>
    <t>1090-2120</t>
  </si>
  <si>
    <t>10.1016/j.bioorg.2023.106532</t>
  </si>
  <si>
    <t>Biochemistry &amp; Molecular Biology; Chemistry, Organic</t>
  </si>
  <si>
    <t>Mondal, KG; Rakshit, S; Kar, BS; Saha, S; Jana, PC; Goswami, MN; Maji, D; Mirda, J</t>
  </si>
  <si>
    <t>Mondal, Krishna Gopal; Rakshit, Soumen; Kar, Bappa Sona; Saha, Satyajit; Jana, Paresh Chandra; Goswami, Makhanlal Nanda; Maji, Debabrata; Mirda, Jatindranath</t>
  </si>
  <si>
    <t>Structural, optical and dielectric properties of green synthesized Ag2S nanoparticles</t>
  </si>
  <si>
    <t>DEPENDENT IONIC-CONDUCTIVITY; ELECTRICAL-CONDUCTIVITY; SYNTHETIC METHODS; BEHAVIOR; DEVICE</t>
  </si>
  <si>
    <t>A facile, convenient, environment friendly green synthesis method has been used to synthesize Ag2S nanoparticles (NPs) using lemon extract. The various characterizations such as XRD, FESEM, FTIR and UV-Vis absorption spectrum confirm the good quality of nanosized Ag2S particles. The temperature and frequency dependent dielectric properties have been studied to investigate the electric behaviour of Ag2S NPs. A relaxation peak observed in loss tangent vs. frequency plot and it shifted towards higher frequency with increasing temperature. The variation of AC conductivity with frequency reveals that at lower frequency region obeys Jonsher's Power Law (JPL) and Super-linear Power Law (SPL) at higher frequency region. Non-overlapping Small Polaron Tunnelling (NSPT) model is used to clarify the conduction process of JPL portion of the curve. The Nyquist plot of the sample has demonstrated two semi-circular arches, which suggests the effect of grain and grain boundary resistance in the Ag2S NPs. The grain and grain boundary resistance decrease with increasing temperature, which indicates the Negative Temperature Coefficient of Resistance (NTCR) behaviour like a semiconductor. The activation energy (Ea) has been estimated from the temperature dependent AC conductivity measurement. The P-E hysteresis loop measurement of Ag2S NPs shows the relaxor-ferroelectric behaviour at room temperature. The fabrication of p-n junction diode (Ag2S/Si) has been constructed and demonstrated the diode characteristics for the device applications.</t>
  </si>
  <si>
    <t>[Mondal, Krishna Gopal; Rakshit, Soumen; Saha, Satyajit; Jana, Paresh Chandra] Vidyasagar Univ, Dept Phys, Midnapore 721102, WB, India; [Kar, Bappa Sona] Panskura Banamali Coll, Dept Phys, Panskura 721152, WB, India; [Goswami, Makhanlal Nanda; Mirda, Jatindranath] Midnapore Coll Autonomous, Dept Phys, Midnapore 721101, WB, India; [Maji, Debabrata] Indian Inst Technol Guwahati, Dept Phys, Gauhati 781039, India</t>
  </si>
  <si>
    <t>Vidyasagar University; Midnapore College; Indian Institute of Technology System (IIT System); Indian Institute of Technology (IIT) - Guwahati</t>
  </si>
  <si>
    <t>Mondal, KG (corresponding author), Vidyasagar Univ, Dept Phys, Midnapore 721102, WB, India.</t>
  </si>
  <si>
    <t>10.1007/s10854-024-14071-5</t>
  </si>
  <si>
    <t>Sinha, Tuhina; Alam, Mohosin; Mukhopadhyay, Arjun; Mandal, Swapan; Hassan, S. S.</t>
  </si>
  <si>
    <t>Nonclassical properties of a non-degenerate parametric amplifier</t>
  </si>
  <si>
    <t>OPTIK</t>
  </si>
  <si>
    <t>[Sinha, Tuhina] Vidyasagar Univ, Dept Phys &amp; Technophys, Midnapore 721102, India; [Alam, Mohosin; Mukhopadhyay, Arjun; Mandal, Swapan] Visva Bharati, Dept Phys, Santiniketa 731235, India; [Hassan, S. S.] Univ Bahrain, Coll Sci, Dept Math, POB 32038, Zallaq, Bahrain</t>
  </si>
  <si>
    <t>Vidyasagar University; Visva Bharati University; University of Bahrain</t>
  </si>
  <si>
    <t>Alam, M (corresponding author), Visva Bharati, Dept Phys, Santiniketa 731235, India.</t>
  </si>
  <si>
    <t>0030-4026</t>
  </si>
  <si>
    <t>1618-1336</t>
  </si>
  <si>
    <t>10.1016/j.ijleo.2022.170040</t>
  </si>
  <si>
    <t>Bera, S; Khalaf, OI; Wong, WK; Pal, M</t>
  </si>
  <si>
    <t>Bera, Sanchari; Khalaf, Osamah Ibrahim; Wong, Wing-Keung; Pal, Madhumangal</t>
  </si>
  <si>
    <t>m-Polar interval-valued fuzzy hypergraphs and its application in decision-making problems</t>
  </si>
  <si>
    <t>Fuzzy graph; Fuzzy hypergraph; m-Polar fuzzy graph; Interval-valued fuzzy graph; m-Polar interval-valued fuzzy graph</t>
  </si>
  <si>
    <t>LINK PREDICTION; GRAPHS</t>
  </si>
  <si>
    <t>This study introduces the novel concept of m- polar interval-valued fuzzy hypergraph (m-PIVFHG), m-PIVFHG), an advancement that combines the strengths of fuzzy theory and hypergraph models to improve decision-making processes. m-PIVFHGs allow vertices to have degrees of membership across multiple polarities within sub-interval values of [0, , 1]. This offers better adaptability and precision than traditional models. This paper systematically explores the theoretical foundations of m- PIVFHGs, detailing their unique characteristics and presenting duality concepts with illustrative examples. It also defines various cut and level types specific to m-PIVFHGs and examines their properties. The practical utility of m-PIVFHGs is demonstrated through a real-world application aimed at optimizing decision-making in a university setting, showcasing significant improvements over existing fuzzy graph methodologies.</t>
  </si>
  <si>
    <t>[Bera, Sanchari; Pal, Madhumangal] Vidyasagar Univ, Dept Appl Math, Midnapore 721102, India; [Khalaf, Osamah Ibrahim] Al Nahrain Univ, Al Nahrain Res Ctr Renewable Energy, Dept Solar, Baghdad, Iraq; [Wong, Wing-Keung] Asia Univ, Dept Finance, Taichung, Taiwan; [Pal, Madhumangal] Saveetha Sch Engn, Dept Math &amp; Innovat, Chennai 602105, Tamil Nadu, India</t>
  </si>
  <si>
    <t>Vidyasagar University; Al-Nahrain University; Asia University Taiwan; Saveetha Institute of Medical &amp; Technical Science; Saveetha School of Engineering</t>
  </si>
  <si>
    <t>Pal, M (corresponding author), Vidyasagar Univ, Dept Appl Math, Midnapore 721102, India.</t>
  </si>
  <si>
    <t>10.1016/j.heliyon.2024.e35996</t>
  </si>
  <si>
    <t>Manna, E; Barai, M; Mandal, MK; Sultana, H; Guchhait, KC; Gawali, SL; Aswal, VK; Ghosh, C; Patra, A; Misra, AK; Yusa, SI; Hassan, PA; Panda, AK</t>
  </si>
  <si>
    <t>Manna, Emili; Barai, Manas; Mandal, Manas K.; Sultana, Habiba; Guchhait, Kartik C.; Gawali, Santosh L.; Aswal, Vinod K.; Ghosh, Chandradipa; Patra, Anuttam; Misra, Ajay K.; Yusa, Shin-Ichi; Hassan, Puthusserickal A.; Panda, Amiya K.</t>
  </si>
  <si>
    <t>Impact of Ionic Liquids on the Physicochemical Behavior of Vesicles</t>
  </si>
  <si>
    <t>JOURNAL OF PHYSICAL CHEMISTRY B</t>
  </si>
  <si>
    <t>ANGLE NEUTRON-SCATTERING; X-RAY-SCATTERING; BILAYER THICKNESS; PHOSPHATIDYLCHOLINE VESICLES; LIPID-BILAYER; CHAIN-LENGTH; IMIDAZOLIUM; LIPOSOME; CHOLESTEROL; SURFACTANTS</t>
  </si>
  <si>
    <t>The effects of two ionic liquids (ILs), 1-butyl-3-methylimidazolium tetrafluoroborate ([bmim]BF4) and 1-butyl-1-methyl pyrrolidinium tetrafluoroborate ([bmp]BF4), on a mixture of phospholipids (PLs) 1,2-dipalmitoyl-sn-glycero-3-phosphatidylcholine (DPPC), 1,2-dipalmitoyl-sn-glycero-3-phosphoethanolamine (DPPE), and 1,2-dipalmitoyl-sn-glycero-3-phosphoglycerol (DPPG) (6:3:1, M/M/M, 70% PL) in combination with 30 mol % cholesterol (CHOL) were investigated in the form of a solvent-spread monolayer and bilayer (vesicle). Surface pressure (pi)-area (A) isotherm studies, using a Langmuir surface balance, revealed the formation of an expanded monolayer, while the cationic moiety of the IL molecules could electrostatically and hydrophobically bind to the PLs on the palisade layer. Turbidity, dynamic light scattering (size, zeta-potential, and polydispersity index), electron microscopy, small-angle X-ray/neutron scattering, fluorescence spectroscopy, and differential scanning calorimetric studies were carried out to evaluate the effects of IL on the structural organization of bilayer in the vesicles. The ILs could induce vesicle aggregation by acting as a glue at lower concentrations (&lt;1.5 mM), while at higher concentrations, the ILs disrupt the bilayer structure. Besides, ILs could result in the thinning of the bilayer, evidenced from the scattering studies. Steady-state fluorescence anisotropy and lifetime studies suggest asymmetric insertion of ILs into the lipid bilayer. MTT assay using human blood lymphocytes indicates the safe application of vesicles in the presence of ILs, with a minimal toxicity of up to 2.5 mM IL in the dispersion. These results are proposed to have applications in the field of drug delivery systems with benign environmental impact.</t>
  </si>
  <si>
    <t>[Manna, Emili] Vidyasagar Univ, Ctr Life Sci, Midnapore 721102, West Bengal, India; [Manna, Emili; Barai, Manas; Mandal, Manas K.; Sultana, Habiba; Misra, Ajay K.; Panda, Amiya K.] Vidyasagar Univ, Dept Chem, Midnapore 721102, West Bengal, India; [Guchhait, Kartik C.; Ghosh, Chandradipa] Vidyasagar Univ, Dept Human Physiol, Midnapore 721102, West Bengal, India; [Gawali, Santosh L.; Aswal, Vinod K.; Hassan, Puthusserickal A.] Bhaba Atom Res Ctr, Solid State Phys Div, Mumbai 400085, India; [Barai, Manas; Patra, Anuttam] Lulea Univ Technol, Chem Interfaces Grp, SE-97187 Lulea, Sweden; [Yusa, Shin-Ichi] Univ Hyogo, Grad Sch Engn, Dept Appl Chem, Himeji, Hyogo 6712280, Japan</t>
  </si>
  <si>
    <t>Vidyasagar University; Vidyasagar University; Vidyasagar University; Bhabha Atomic Research Center (BARC); Lulea University of Technology; University of Hyogo</t>
  </si>
  <si>
    <t>Panda, AK (corresponding author), Vidyasagar Univ, Dept Chem, Midnapore 721102, West Bengal, India.</t>
  </si>
  <si>
    <t>1520-6106</t>
  </si>
  <si>
    <t>1520-5207</t>
  </si>
  <si>
    <t>10.1021/acs.jpcb.4c01455</t>
  </si>
  <si>
    <t>Dey, T; Bera, S; Paul, B; De, DBS; Mukherjee, A; Buyya, R</t>
  </si>
  <si>
    <t>Dey, Tanushree; Bera, Somnath; Paul, Bachchu; De, Debashis; Mukherjee, Anwesha; Buyya, Rajkumar</t>
  </si>
  <si>
    <t>Fly: Femtolet-based edge-cloud framework for crop yield prediction using bidirectional long short-term memory</t>
  </si>
  <si>
    <t>SOFTWARE-PRACTICE &amp; EXPERIENCE</t>
  </si>
  <si>
    <t>Bi-LSTM; crop yield prediction; Femtolet; internet of agricultural things; low latency services</t>
  </si>
  <si>
    <t>GENERATION NETWORK DEVICE; MODEL; IOT; INTERNET; THINGS</t>
  </si>
  <si>
    <t>Crop yield prediction is a crucial area in agriculture that has a large impact on the economy of a country. This article proposes a crop yield prediction framework based on Internet of Things and edge computing. We have used a fifth generation network device referred to as femtolet as the edge device. The femtolet is a small cell base station that has high storage and high processing ability. The sensor nodes collect the soil and environmental data, and then the collected data is sent to the femtolet through the microcontrollers. The femtolet retrieves the weather-related data from the cloud, and then processes the sensor data and weather-related data using Bi-LSTM. The femtolet after processing the data sends the generated results to the cloud. The user can access the results from the cloud to predict the suitable crop for his/her land. This is observed that the suggested framework provides better accuracy, precision, recall, and F1-score compared to the state-of-the-art crop yield prediction frameworks. This is also demonstrated that the use of femtolet reduces the latency by similar to 25% than the conventional edge-cloud framework.</t>
  </si>
  <si>
    <t>[Dey, Tanushree; Bera, Somnath; De, Debashis] Maulana Abul Kalam Azad Univ Technol, Ctr Mobile Cloud Comp, Dept Comp Sci &amp; Engn, Nadia, W Bengal, India; [Paul, Bachchu] Vidyasagar Univ, Dept Comp Sci, Midnapore, W Bengal, India; [Mukherjee, Anwesha] Mahishadal Raj Coll, Dept Comp Sci, Purba Medinipur 721628, W Bengal, India; [Buyya, Rajkumar] Univ Melbourne, Sch Comp &amp; Informat Syst, Cloud Comp &amp; Distributed Syst CLOUDS Lab, Melbourne, Australia</t>
  </si>
  <si>
    <t>Maulana Abul Kalam Azad University of Technology; Vidyasagar University; University of Melbourne</t>
  </si>
  <si>
    <t>Mukherjee, A (corresponding author), Mahishadal Raj Coll, Dept Comp Sci, Purba Medinipur 721628, W Bengal, India.</t>
  </si>
  <si>
    <t>0038-0644</t>
  </si>
  <si>
    <t>1097-024X</t>
  </si>
  <si>
    <t>10.1002/spe.3324</t>
  </si>
  <si>
    <t>Ali, S; Azeem, M; Zahid, MA; Usman, M; Pal, M</t>
  </si>
  <si>
    <t>Ali, Sikander; Azeem, Muhammad; Zahid, Manzoor Ahmad; Usman, Muhammad; Pal, Madhumangal</t>
  </si>
  <si>
    <t>Novel resolvability parameter of some well-known graphs and exchange properties with applications</t>
  </si>
  <si>
    <t>Resolving set; Metric dimension; Edge metric dimension; Fault-tolerant metric dimension; Edge fault-tolerant metric dimension; Fault-tolerant mixed metric dimension</t>
  </si>
  <si>
    <t>METRIC DIMENSION</t>
  </si>
  <si>
    <t>The resolvability parameter is an essential component, especially in the context of network research, due to its theoretical and practical significance. Its importance is evident in several applications and outcomes, including social network analysis, network security, facility location and site selection, and effective routing. We introduce a novel resolvability parameter, Fault-Tolerant Mixed Metric Dimension, in this paper, and this defined as let Rm,f\documentclass[12pt]{minimal} \usepackage{amsmath} \usepackage{wasysym} \usepackage{amsfonts} \usepackage{amssymb} \usepackage{amsbsy} \usepackage{mathrsfs} \usepackage{upgreek} \setlength{\oddsidemargin}{-69pt} \begin{document}$$R_{m,f}$$\end{document} be a set that nodes on a graph as both an edge-resolving set and a resolving set. If Rm,f\documentclass[12pt]{minimal} \usepackage{amsmath} \usepackage{wasysym} \usepackage{amsfonts} \usepackage{amssymb} \usepackage{amsbsy} \usepackage{mathrsfs} \usepackage{upgreek} \setlength{\oddsidemargin}{-69pt} \begin{document}$$R_{m,f}$$\end{document} can uniquely represent the graph's edges and vertices, then it is referred to as a mixed resolving set, and its all subsets cardinality is called the mixed metric dimension. If all of the graph's vertices and edges are uniquely represented by Rm,f ',\documentclass[12pt]{minimal} \usepackage{amsmath} \usepackage{wasysym} \usepackage{amsfonts} \usepackage{amssymb} \usepackage{amsbsy} \usepackage{mathrsfs} \usepackage{upgreek} \setlength{\oddsidemargin}{-69pt} \begin{document}$$R_{m,f}&lt;^&gt;{\prime },$$\end{document} and all subsets of Rm,f '\documentclass[12pt]{minimal} \usepackage{amsmath} \usepackage{wasysym} \usepackage{amsfonts} \usepackage{amssymb} \usepackage{amsbsy} \usepackage{mathrsfs} \usepackage{upgreek} \setlength{\oddsidemargin}{-69pt} \begin{document}$$R_{m,f}&lt;^&gt;{\prime }$$\end{document} with of cardinality one less than Rm,f\documentclass[12pt]{minimal} \usepackage{amsmath} \usepackage{wasysym} \usepackage{amsfonts} \usepackage{amssymb} \usepackage{amsbsy} \usepackage{mathrsfs} \usepackage{upgreek} \setlength{\oddsidemargin}{-69pt} \begin{document}$$R_{m,f}$$\end{document} likewise have unique representations for all of the graph's vertices and edges, then Rm,f\documentclass[12pt]{minimal} \usepackage{amsmath} \usepackage{wasysym} \usepackage{amsfonts} \usepackage{amssymb} \usepackage{amsbsy} \usepackage{mathrsfs} \usepackage{upgreek} \setlength{\oddsidemargin}{-69pt} \begin{document}$$R_{m,f}$$\end{document} is referred to as a Fault-Tolerant Mixed Resolving Set, and If two such sets Rm,f1\documentclass[12pt]{minimal} \usepackage{amsmath} \usepackage{wasysym} \usepackage{amsfonts} \usepackage{amssymb} \usepackage{amsbsy} \usepackage{mathrsfs} \usepackage{upgreek} \setlength{\oddsidemargin}{-69pt} \begin{document}$$R_{m,f}&lt;^&gt;{1}$$\end{document} and Rm,f2\documentclass[12pt]{minimal} \usepackage{amsmath} \usepackage{wasysym} \usepackage{amsfonts} \usepackage{amssymb} \usepackage{amsbsy} \usepackage{mathrsfs} \usepackage{upgreek} \setlength{\oddsidemargin}{-69pt} \begin{document}$$R_{m,f}&lt;^&gt;{2}$$\end{document} exist such that Rm,f1 boolean AND Rm,f2 not equal 0\documentclass[12pt]{minimal} \usepackage{amsmath} \usepackage{wasysym} \usepackage{amsfonts} \usepackage{amssymb} \usepackage{amsbsy} \usepackage{mathrsfs} \usepackage{upgreek} \setlength{\oddsidemargin}{-69pt} \begin{document}$$R_{m,f}&lt;^&gt;{1}\cap R_{m,f}&lt;^&gt;{2}\ne 0$$\end{document} then we say that the graph has exchange property. Rm,f\documentclass[12pt]{minimal} \usepackage{amsmath} \usepackage{wasysym} \usepackage{amsfonts} \usepackage{amssymb} \usepackage{amsbsy} \usepackage{mathrsfs} \usepackage{upgreek} \setlength{\oddsidemargin}{-69pt} \begin{document}$$R_{m,f}$$\end{document}'s minimum cardinality is known as its fault-tolerant mixed Metric Dimension. These definitions offer a means of measuring a collection of vertices' capacity to represent graph structures uniquely, taking fault-tolerant and resolution into account. Furthermore, a problem related to the lab's system network is also discussed and linked with this topic in this work. Like a lab engineer is embarking on the creation of a new circular lab, intending to establish where and how many devices within it to supply internet with wire to all systems. A solution to this problem is proving this novel topic authenticity.</t>
  </si>
  <si>
    <t>[Ali, Sikander; Zahid, Manzoor Ahmad] COMSATS Univ Islamabad, Dept Math, Sahiwal Campus, Islamabad, Punjab, Pakistan; [Azeem, Muhammad] Riphah Int Univ, Dept Math, Lahore, Pakistan; [Usman, Muhammad] Islamia Univ Bahawalpur, Dept Math, Bahawalnagar Campus, Bahawalpur, Pakistan; [Pal, Madhumangal] Vidyasagar Univ, Dept Appl Math Oceanol &amp; Comp Programming, Midnapore 721102, India</t>
  </si>
  <si>
    <t>COMSATS University Islamabad (CUI); Islamia University of Bahawalpur; Vidyasagar University</t>
  </si>
  <si>
    <t>10.1007/s12190-024-02137-w</t>
  </si>
  <si>
    <t>Kar, C; Aktar, MS; De, M; Maiti, M; Das, P</t>
  </si>
  <si>
    <t>Kar, Chaitali; Aktar, Md Samim; De, Manoranjan; Maiti, Manoranjan; Das, Pritha</t>
  </si>
  <si>
    <t>Fuzzy MI4DTPs for perishable items with preservation technology under various CO2 policies</t>
  </si>
  <si>
    <t>Multi-item four-dimensional transportation problem; items' freshness; perishable items; carbon emission; preservation technology; triangular fuzzy number</t>
  </si>
  <si>
    <t>INVENTORY ROUTING PROBLEM; SOLID TRANSPORTATION PROBLEM; GREEN SUPPLY CHAIN; INVESTMENTS; MANAGEMENT; PRODUCTS; SYSTEMS; MODEL</t>
  </si>
  <si>
    <t>According to FAO (https://www.ft.com/content/c1f2856e-a518-11e3-8988-00144feab7de), 40 percent of India's fresh products perish before reaching consumers. As per ECOFYS's report (http://twosides.info/includes/files/upload/files/UK/Myths and Facts 2016 Sources/8-9/ECOFYS 2013-world-ghgemissions-flow-chart-2010), road transportation contributes 10.5 percent of total GHGE. Moreover, refrigeration systems increase carbon emissions during cold transportation, and several policies have been introduced to reduce it. Nowadays, due to infrastructural development, there are several connecting routes between different cities for transportation. Selling prices of fruits/vegetables depend on their freshness, which decreases with time. This investigation considers multi-item four-dimensional transportation problems with preservation technology under different CO2 reduction policies in fuzzy environment. The availabilities, demands, vehicles' capacities and unit transportation costs are fuzzy in nature. The investigation addresses four different carbon reduction policies- cap, carbon tax, cap-and-sale and cap-and-purchase. The main objective is to find optimum amounts of transported items by selecting appropriate routes and suitable conveyances for minimum total carbon emission and maximum total profit. The formulated models are justified by some real-life numerical experiments. Trade-offs between profit vs. carbon emission and profit vs. preservation cost are numerically depicted. A sensitivity study is conducted to determine the impact of model characteristics.</t>
  </si>
  <si>
    <t>[Kar, Chaitali; Das, Pritha] Indian Inst Engn Sci &amp; Technol, Dept Math, Howrah 711103, W Bengal, India; [Aktar, Md Samim] Indian Inst Technol Guwahati, Sch Business, North Guwahati, Assam, India; [De, Manoranjan] Dept Math, Mugberia Gangadhar Mahavidyalaya, Purba Medinipur, W Bengal, India; [Maiti, Manoranjan] Vidyasagar Univ, Dept Math, Midnapore, W Bengal, India</t>
  </si>
  <si>
    <t>Indian Institute of Engineering Science Technology Shibpur (IIEST); Indian Institute of Technology System (IIT System); Indian Institute of Technology (IIT) - Guwahati; Mugberia Gangadhar Mahavidyalaya; Vidyasagar University</t>
  </si>
  <si>
    <t>Kar, C (corresponding author), Indian Inst Engn Sci &amp; Technol, Dept Math, Howrah 711103, W Bengal, India.</t>
  </si>
  <si>
    <t>10.1080/23302674.2024.2399283</t>
  </si>
  <si>
    <t>Sahoo, Palash; Jana, Dipak Kumar; Pramanik, Sutapa; Panigrahi, Goutam</t>
  </si>
  <si>
    <t>The effect of COVID-19 pandemic on uncertain supply chain model with risk and visibility via expected value and chance constraint techniques</t>
  </si>
  <si>
    <t>[Sahoo, Palash; Panigrahi, Goutam] Natl Inst Technol, Dept Math, Durgapur 713209, W Bengal, India; [Jana, Dipak Kumar] Haldia Inst Technol, Sch Appl Sci &amp; Humanities, Purba Medinipore 721657, W Bengal, India; [Pramanik, Sutapa] Vidyasagar Univ, Dept Appl Math Oceanol &amp; Comp Programming, Midnapore 721102, W Bengal, India; [Sahoo, Palash] Calcutta Inst Technol, Dept Math, Howrah 711316, W Bengal, India</t>
  </si>
  <si>
    <t>National Institute of Technology (NIT System); National Institute of Technology Durgapur; Haldia Institute of Technology; Vidyasagar University</t>
  </si>
  <si>
    <t>Jana, DK (corresponding author), Haldia Inst Technol, Sch Appl Sci &amp; Humanities, Purba Medinipore 721657, W Bengal, India.</t>
  </si>
  <si>
    <t>10.1007/s00500-023-09139-z</t>
  </si>
  <si>
    <t>Ghorai, Anudyuti; Nandi, Utpal; Changdar, Chiranjit; Si, Tapas; Singh, Moirangthem Marjit; Mondal, Jyotsna Kumar</t>
  </si>
  <si>
    <t>Indian sign language recognition system using network deconvolution and spatial transformer network</t>
  </si>
  <si>
    <t>[Ghorai, Anudyuti; Nandi, Utpal] Vidyasagar Univ, Dept Comp Sci, Paschim Medinipur 721102, West Bengal, India; [Changdar, Chiranjit] Belda Coll, Dept Comp Sci, Belda, W Bengal, India; [Si, Tapas] Univ Engn &amp; Management, Dept Comp Sci &amp; Engn, Jaipur 303807, Rajasthan, India; [Singh, Moirangthem Marjit] North Eastern Reg Inst Sci &amp; Technol, Dept Comp Sci &amp; Engn, Nirjuli, Arunachal Prade, India; [Mondal, Jyotsna Kumar] Raiganj Univ, Dept Comp Sci &amp; Engn, Raiganj, W Bengal, India; [Mondal, Jyotsna Kumar] Univ Kalyani, Kalyani, W Bengal, India</t>
  </si>
  <si>
    <t>Vidyasagar University; North Eastern Regional Institute of Science &amp; Technology (NERIST); Kalyani University</t>
  </si>
  <si>
    <t>10.1007/s00521-023-08860-y</t>
  </si>
  <si>
    <t>Manna, Amalesh Kumar; Cardenas-Barron, Leopoldo Eduardo; Dey, Jayanta Kumar; Mondal, Shyamal Kumar; Shaikh, Ali Akbar; Cespedes-Mota, Armando; Trevino-Garza, Gerardo</t>
  </si>
  <si>
    <t>A Fuzzy Imperfect Production Inventory Model Based on Fuzzy Differential and Fuzzy Integral Method</t>
  </si>
  <si>
    <t>JOURNAL OF RISK AND FINANCIAL MANAGEMENT</t>
  </si>
  <si>
    <t>[Manna, Amalesh Kumar; Mondal, Shyamal Kumar] Vidyasagar Univ, Dept Appl Math Oceanol &amp; Comp Programming, Midnapore 721102, India; [Manna, Amalesh Kumar; Shaikh, Ali Akbar] Univ Burdwan, Dept Math, Burdwan 713104, W Bengal, India; [Cardenas-Barron, Leopoldo Eduardo; Cespedes-Mota, Armando; Trevino-Garza, Gerardo] Tecnol Monterrey, Sch Sci &amp; Engn, Ave Eugenio Garza Sada 2501, Monterrey 64849, NL, Mexico; [Dey, Jayanta Kumar] Mahishadal Raj Coll, Dept Math, Mahishadal 721628, India</t>
  </si>
  <si>
    <t>Vidyasagar University; University of Burdwan; Tecnologico de Monterrey</t>
  </si>
  <si>
    <t>Cárdenas-Barrón, LE (corresponding author), Tecnol Monterrey, Sch Sci &amp; Engn, Ave Eugenio Garza Sada 2501, Monterrey 64849, NL, Mexico.</t>
  </si>
  <si>
    <t>1911-8066</t>
  </si>
  <si>
    <t>1911-8074</t>
  </si>
  <si>
    <t>10.3390/jrfm15060239</t>
  </si>
  <si>
    <t>Business, Finance</t>
  </si>
  <si>
    <t>Khan, Muhammad Sajjad Ali; Jana, Chiranjibe; Khan, Muhammad Tahir; Mahmood, Waqas; Pal, Madhumangal; Mashwani, Wali Khan</t>
  </si>
  <si>
    <t>Extension of GRA method for multiattribute group decision making problem under linguistic Pythagorean fuzzy setting with incomplete weight information</t>
  </si>
  <si>
    <t>INTERNATIONAL JOURNAL OF INTELLIGENT SYSTEMS</t>
  </si>
  <si>
    <t>[Khan, Muhammad Sajjad Ali] Khushal Khan Khattak Univ, Dept Math, Karak, Pakistan; [Jana, Chiranjibe; Pal, Madhumangal] Vidyasagar Univ, Dept Appl Math Oceanol &amp; Comp Programming, Midnapore 721102, India; [Khan, Muhammad Tahir; Mahmood, Waqas] Quaid i Azam Univ, Dept Math, Islamabad, Pakistan; [Mashwani, Wali Khan] Kohat Univ Sci &amp; Technol, Inst Numer Sci, Kohat, Pakistan</t>
  </si>
  <si>
    <t>Vidyasagar University; Quaid I Azam University; Kohat University of Science &amp; Technology</t>
  </si>
  <si>
    <t>0884-8173</t>
  </si>
  <si>
    <t>1098-111X</t>
  </si>
  <si>
    <t>INT J INTELL SYST</t>
  </si>
  <si>
    <t>Int. J. Intell. Syst.</t>
  </si>
  <si>
    <t>10.1002/int.23003</t>
  </si>
  <si>
    <t>Implement an uncertain vector approach to solve entropy-based four-dimensional transportation problems with discounted costs</t>
  </si>
  <si>
    <t>[Sahoo, Palash; Panigrahi, Goutam] Natl Inst Technol, Dept Math, Durgapur 713209, W Bengal, India; [Jana, Dipak Kumar] Haldia Inst Technol, Sch Appl Sci &amp; Humanities, Purba Midnapur 721657, W Bengal, India; [Pramanik, Sutapa] Vidyasagar Univ, Dept Appl Math Oceanol &amp; Comp Programming, Midnapore 721102, W Bengal, India; [Sahoo, Palash] Calcutta Inst Technol, Dept Math, Howrah 711316, W Bengal, India</t>
  </si>
  <si>
    <t>Jana, DK (corresponding author), Haldia Inst Technol, Sch Appl Sci &amp; Humanities, Purba Midnapur 721657, W Bengal, India.</t>
  </si>
  <si>
    <t>10.1007/s13042-021-01457-8</t>
  </si>
  <si>
    <t>Hasanuzzaman, M; Shit, PK; Mallick, J; Alqadhi, S; Talukdar, S</t>
  </si>
  <si>
    <t>Hasanuzzaman, Md; Shit, Pravat Kumar; Mallick, Javed; Alqadhi, Saeed; Talukdar, Swapan</t>
  </si>
  <si>
    <t>Local perspectives on gully erosion: a comparative study of farmers and non-farmers in the Chotanagpur plateau fringe, West Bengal</t>
  </si>
  <si>
    <t>NATURAL HAZARDS</t>
  </si>
  <si>
    <t>Gully erosion; Indigenous knowledge; Farmers; Principal component analysis; Chotanagpur Plateau region</t>
  </si>
  <si>
    <t>SOIL-EROSION; REGION; CONSEQUENCES; DEGRADATION</t>
  </si>
  <si>
    <t>Soil erosion especially gully erosion is a significant global agricultural challenge, including in India. In West Bengal, about 30.10% of land faces degradation, particularly along the eastern fringes of the Chotanagpur Plateau. While much research has focused on gully morphology, geometry, and susceptibility mapping, there is a notable gap in studies addressing local perceptions of gully erosion, both globally and in India. This research addresses that gap by examining the perceptions of farmers and non-farmers regarding gully erosion, its causes, impacts, and potential mitigation strategies. Data was collected through surveys, interviews, and focus group discussions involving 367 households from 40 villages. The findings reveal that 91% of farmers recognize the severity of gully erosion, compared to just 73% of non-farmers. Based on principal component analysis, farmers primarily attribute the problem to surface runoff (11.6%), while non-farmers cite road construction (10.8%). Farmers perceive soil loss (11.7%) as the major impact, whereas non-farmers focus on declining property values (11%). Regarding solutions, 11.6% of farmers consider cover crops highly effective, compared to 9.9% of non-farmers who prefer crop rotation. Farmers favor native species like Sal, Petsa, Dhau, and Mahua over Eucalyptus and Acacia, with Evolvulus nummularia identified as particularly effective. Multi-correlation analysis reveals that gully erosion involves multiple interrelated factors, with no single cause or solution. Farmers, due to their practical experience and scientific knowledge, have a better understanding of gully erosion than non-farmers. Incorporating farmers' insights can enhance erosion control strategies and inform policymakers for more effective decision-making.</t>
  </si>
  <si>
    <t>[Hasanuzzaman, Md; Shit, Pravat Kumar] Vidyasagar Univ, Raja NL Khan Womens Coll, Res Ctr Nat &amp; Appl Sci, Midnapore 721102, West Bengal, India; [Hasanuzzaman, Md] Raja NL Khan Womens Coll Autonomous, PG Dept Geog, Gope Palace, Midnapore 721102, West Bengal, India; [Mallick, Javed; Alqadhi, Saeed] King Khalid Univ, Coll Engn, Dept Civil Engn, POB 394, Abha 61411, Saudi Arabia; [Talukdar, Swapan] Univ Calcutta, Asutosh Coll, Dept Geog, Kolkata 700026, India</t>
  </si>
  <si>
    <t>Vidyasagar University; King Khalid University; University of Calcutta</t>
  </si>
  <si>
    <t>Mallick, J (corresponding author), King Khalid Univ, Coll Engn, Dept Civil Engn, POB 394, Abha 61411, Saudi Arabia.</t>
  </si>
  <si>
    <t>0921-030X</t>
  </si>
  <si>
    <t>1573-0840</t>
  </si>
  <si>
    <t>10.1007/s11069-024-07026-w</t>
  </si>
  <si>
    <t>Geosciences, Multidisciplinary; Meteorology &amp; Atmospheric Sciences; Water Resources</t>
  </si>
  <si>
    <t>Geology; Meteorology &amp; Atmospheric Sciences; Water Resources</t>
  </si>
  <si>
    <t>Islam, SR; Bin Mohsin, B; Pal, M</t>
  </si>
  <si>
    <t>Islam, Sk Rabiul; Bin Mohsin, Bandar; Pal, Madhumangal</t>
  </si>
  <si>
    <t>Hyper-Zagreb index in fuzzy environment and its application</t>
  </si>
  <si>
    <t>Fuzzy graph; Topological indices; First Zagreb index; Second Zagreb index; Hyper-Zagreb index</t>
  </si>
  <si>
    <t>TOPOLOGICAL INDEXES; MOLECULAR-ORBITALS; GRAPH-THEORY; NETWORK</t>
  </si>
  <si>
    <t>The Zagreb indices (ZIs) are important graph invariants that are used extensively in many different fields in mathematics and chemistry, such as network theory, spectral graph theory, fuzzy graph theory (FGT) and molecular chemistry, etc. The hyper-ZI is introduced especially for fuzzy graphs (FGs) in this study. The study computes this index's bounds for a variety of FG types, including paths, cycles, stars, complete FGs and partial fuzzy subgraphs. It is shown that isomorphic FGs produce the same values for this index. Moreover, interesting connections are established between the hyper-ZI and the second ZI for FGs. Moreover, bounds on this index are found for the following operations: direct product, Cartesian product, composition, join, union, strong product and semi- strong product of two FGs. In the end, the effectiveness of this index is compared with three other topological indices: hyper-ZI for crisp graphs, first ZI for FGs and F-index for FGs, in an analysis of the crime Murder in India. While the hyper-ZI for FGs, first ZI for FGs and F-index for FGs yield similar outcomes, the hyper-ZI for FGs demonstrates superior realism in detecting crimes in India compared to its crisp graph counterpart.</t>
  </si>
  <si>
    <t>[Islam, Sk Rabiul] Brainware Univ, Dept Math, 398 Ramkrishnapur Rd, Kolkata 700125, India; [Islam, Sk Rabiul; Pal, Madhumangal] Vidyasagar Univ, Dept Appl Math, Midnapore 721102, India; [Bin Mohsin, Bandar] King Saud Univ, Coll Sci, Dept Math, POB 2455, Riyadh 11451, Saudi Arabia; [Pal, Madhumangal] Saveetha Sch Engn, Dept Math &amp; Innovat, Chennai 602105, Tamil Nadu, India</t>
  </si>
  <si>
    <t>Vidyasagar University; King Saud University; Saveetha Institute of Medical &amp; Technical Science; Saveetha School of Engineering</t>
  </si>
  <si>
    <t>10.1016/j.heliyon.2024.e36110</t>
  </si>
  <si>
    <t>Raj, A; Chakravorty, A; Luktuke, S; Santra, S; Das, S; Sahoo, S; Ramesh, K; Sana, SS; Jayanthi, S; Samanta, A; Raghavan, V</t>
  </si>
  <si>
    <t>Raj, Aditya; Chakravorty, Arghya; Luktuke, Sahil; Santra, Sourav; Das, Sudip; Sahoo, Subhrajeet; Ramesh, Karthikeyan; Sana, Siva Sankar; Jayanthi, Sivaraman; Samanta, Arabinda; Raghavan, Vimala</t>
  </si>
  <si>
    <t>Anti-Inflammatory Potential of Costus speciosus rhizome Bioactive Phytochemicals: A Combined GC-MS and Computational Approach Targeting TLR-4 Signaling</t>
  </si>
  <si>
    <t>CURRENT COMPUTER-AIDED DRUG DESIGN</t>
  </si>
  <si>
    <t>Costus speciosus; toll-like receptor 4; Alzheimer's disease; inflammation; GC-MS analysis; molecular docking; ADMET; molecular dynamics simulations</t>
  </si>
  <si>
    <t>DOCKING; GLIDE; ANTIOXIDANT; PREDICTION; MOLECULES; PROTEINS; DYNAMICS</t>
  </si>
  <si>
    <t>Background: Plants represent a rich reservoir of bioactive compounds with established therapeutic value in diverse diseases. Notably, the Toll-like receptor-4 (TLR-4) signaling pathway plays a pivotal role in inflammation. Upon engagement with pro-inflammatory ligands like lipopolysaccharide, TLR-4 triggers downstream cascades involving nuclear factor &amp; kgreen;appa B and mitogen-activated protein kinases. This signaling cascade ultimately dictates the onset and progression of inflammatory diseases. Therefore, targeting TLR-4 signaling offers a promising therapeutic approach for managing inflammatory disorders. Methods: This study investigated the potential of Costus speciosus rhizome phytocompounds, a traditional medicinal plant, as novel as modulators of TLR-4 signaling, highlighting their mechanisms of action and potential clinical applications. In the present study, 18 phytocompounds isolated from the rhizome of Costus speciosus, were studied against TLR-4/AP-1 signaling, which is implicated in the inflammatory process using a computational approach. Results: The compounds exhibited binding affinities ranging from -4.087 to -8.93 kcal/mol with the TLR-4 protein due to the formation of multiple intermolecular interactions. Benzenepropanoic acid, 3,5-bis(1,1-dimethylethyl)-4-hydroxy-, methyl ester (compound 7) exhibited exceptional binding energy (-8.93 kcal/mol), indicating strong affinity for the TLR-4 protein. Additionally, compound 7 displayed favorable ADMET properties, suggesting promising drug development potential. Molecular dynamics simulations confirmed the stability of the compound 7-TLR4 complex, further supporting its ability to modulate TLR-4 signaling. Conclusion: These findings highlight the therapeutic potential of Costus speciosus phytocompounds, particularly compound 7, as potent anti-inflammatory modulators. Further research is warranted to validate their anti-inflammatory and neuroprotective effects in pre-clinical models, paving the way for their development as novel therapeutic agents for inflammatory diseases.</t>
  </si>
  <si>
    <t>[Raj, Aditya; Chakravorty, Arghya; Luktuke, Sahil; Das, Sudip; Ramesh, Karthikeyan; Raghavan, Vimala] Vellore Inst Technol, Ctr Nanotechnol Res, Vellore 632014, Tamil Nadu, India; [Santra, Sourav] Vidyasagar Univ, Dept Microbiol, Midnapore 721102, West Bengal, India; [Sahoo, Subhrajeet] Vidyasagar Univ, Ctr Life Sci, Midnapore 721102, West Bengal, India; [Sana, Siva Sankar] Yeungnam Univ, Sch Chem Engn, Gyongsan 3854, Gyeongbuk, South Korea; [Jayanthi, Sivaraman] Vellore Inst Technol, Sch Biosci &amp; Technol, Dept Biotechnol, Vellore 632014, Tamil Nadu, India; [Samanta, Arabinda] Jhargram Raj Coll, Dept Bot, Jhargram 721507, West Bengal, India; [Samanta, Arabinda] Vidyasagar Univ, Dept Bot &amp; Forestry, Midnapore 721102, West Bengal, India</t>
  </si>
  <si>
    <t>Vellore Institute of Technology (VIT); VIT Vellore; Vidyasagar University; Vidyasagar University; Yeungnam University; Vellore Institute of Technology (VIT); VIT Vellore; Vidyasagar University</t>
  </si>
  <si>
    <t>Raghavan, V (corresponding author), Vellore Inst Technol, Ctr Nanotechnol Res, Vellore 632014, Tamil Nadu, India.</t>
  </si>
  <si>
    <t>1573-4099</t>
  </si>
  <si>
    <t>1875-6697</t>
  </si>
  <si>
    <t>10.2174/0115734099309926241007055607</t>
  </si>
  <si>
    <t>Chemistry, Medicinal; Computer Science, Interdisciplinary Applications</t>
  </si>
  <si>
    <t>Pharmacology &amp; Pharmacy; Computer Science</t>
  </si>
  <si>
    <t>Saren, D; Zangrando, E; Puschmann, H; Manna, SC</t>
  </si>
  <si>
    <t>Saren, Dama; Zangrando, Ennio; Puschmann, Horst; Manna, Subal Chandra</t>
  </si>
  <si>
    <t>Tridentate chelating ligand based fluorescent Zn(ii) coordination compounds for highly selective detection of picric acid</t>
  </si>
  <si>
    <t>METAL-ORGANIC FRAMEWORKS; SCHIFF-BASE; NITROAROMATIC EXPLOSIVES; AROMATIC POLYCARBOXYLATE; ZINC(II) COMPLEXES; POLYMERS; CADMIUM; LUMINESCENCE; SENSOR; IONS</t>
  </si>
  <si>
    <t>In this work we report two zinc(ii) complexes, namely {[Zn(L)(dca)](0.5CH3OH)}n (1) and [Zn2(L)2(N3)2] (2), (where HL = 1-((2-pyridylmethyl)iminomethyl)-2-naphthol, dca = dicyanoamide anion) that have been structurally characterized by spectroscopic technique and X-ray single crystal diffraction. Structural analysis showed for complex 1 an undulated polymer with Zn(L) units connected by bridging dca anions, while 2 is a dinuclear complex where the azide anions are monodentate and end-on coordinated. The emission properties of both complexes have been studied in various organic solvents, and among them, nitrobenzene attracts attention due to its significant quenched effect. The synthesized complexes were tested as fluorescence-based sensors for nitroaromatic analytes (nitrobenzene, 4-nitrotoluene, 2,4-dinitrophenol, p-nitrophenol, 1,3-dinitrobenzene, 2-nitrotoluene, 4-nitrobenzaldehyde, and picric acid) and results showed that complexes 1 and 2 exhibit a selective response in particular towards picric acid (PA). The fluorescence sensor mechanisms have been explained according to photoinduced electron transfer (PET) mechanism and resonance energy transfer (RET).</t>
  </si>
  <si>
    <t>[Saren, Dama; Manna, Subal Chandra] Vidyasagar Univ, Dept Chem, Midnapore 721102, West Bengal, India; [Zangrando, Ennio] Univ Trieste, Dept Chem &amp; Pharmaceut Sci, I-34127 Trieste, Italy; [Puschmann, Horst] Univ Durham, Dept Chem, South Rd, Durham DH1 3LE, England</t>
  </si>
  <si>
    <t>Vidyasagar University; University of Trieste; Durham University</t>
  </si>
  <si>
    <t>Manna, SC (corresponding author), Vidyasagar Univ, Dept Chem, Midnapore 721102, West Bengal, India.</t>
  </si>
  <si>
    <t>10.1039/d3nj05089k</t>
  </si>
  <si>
    <t>Mondal, Arijit; Roy, Sankar Kumar; Deveci, Muhammet</t>
  </si>
  <si>
    <t>Regret-based domination and prospect-based scoring in three-way decision making using q-rung orthopair fuzzy Mahalanobis distance</t>
  </si>
  <si>
    <t>[Mondal, Arijit; Roy, Sankar Kumar] Vidyasagar Univ, Dept Appl Math Oceanol &amp; Comp Programming, Midnapore 721102, West Bengal, India; [Deveci, Muhammet] Natl Def Univ, Turkish Naval Acad, Dept Ind Engn, TR-34940 Istanbul, Turkiye; [Deveci, Muhammet] Lebanese Amer Univ, Dept Elect &amp; Comp Engn, Byblos, Lebanon; [Deveci, Muhammet] UCL, Bartlett Sch Sustainable Construct, Gower St, London WC1E 6BT, England</t>
  </si>
  <si>
    <t>Vidyasagar University; Lebanese American University; University of London; University College London</t>
  </si>
  <si>
    <t>SUPPL 2</t>
  </si>
  <si>
    <t>10.1007/s10462-023-10578-1</t>
  </si>
  <si>
    <t>Adhikary, K; Banerjee, P; Barman, S; Banerjee, A; Sarkar, A; Bag, S; Chatterjee, S; Bandyopadhyay, B; Panja, AS</t>
  </si>
  <si>
    <t>Adhikary, Krishnendu; Banerjee, Pradipta; Barman, Saurav; Banerjee, Arundhati; Sarkar, Aniket; Bag, Souvik; Chatterjee, Soumendranath; Bandyopadhyay, Bidyut; Panja, Anindya Sundar</t>
  </si>
  <si>
    <t>Larvicidal activity of β-Citral: An In-vitro and In-silico study to understand its potential against mosquito</t>
  </si>
  <si>
    <t>ACTA TROPICA</t>
  </si>
  <si>
    <t>Anopheles; GPCR; Citral; Lavicidal effect; Molecular interaction</t>
  </si>
  <si>
    <t>ESSENTIAL-OIL; REPELLENCY; FORMULATION; MODE</t>
  </si>
  <si>
    <t>Tropical and subtropical regions face millions of deaths from mosquito-borne illnesses yearly. Insecticides prevent transmission but pose health risks like dermatitis and allergies. The primary objective was to mitigate the recurring dependence on synthetic insecticides, thereby curbing the development of mosquito resistance. Leaves of Cymbopogon flexuosus (lemongrass) was collected from Mayurbhanj, India, processed, then extracted by steam distillation for essential oils &amp; analyzed spectroscopically. Larvicidal assays were performed across varying concentrations, revealing the significant mortality induced by the Cymbopogon flexuosus extract against Anopheles stephensi larvae. 3D structure was modelled by using G protein-coupled receptors (GPCR) sequence and structural stability was also validated. After docking the binding free energy was determined from GPCR protein with (3-citral complex. Molecular dynamics (MD) study was conducted on the docked pose that displayed an optimal interactome profile. The larvicidal assay at the 12th and 24th hour revealed the highest LC50 (lethal concentration) of 23.493 ppm and 19.664 ppm . (3-Citral has a high binding affinity and an identifiable binding site, which suggests that it may play a larvicidal role in regulating the receptor's function by creating stable complexes with it. (3-Citral from lemongrass oils has potential larvicidal activity and effective against GPCR family 1 of mosquito and highly effective repellents against mosquito-borne diseases.</t>
  </si>
  <si>
    <t>[Adhikary, Krishnendu] Centurion Univ Technol &amp; Management, Dept Interdisciplinary Sci, Bhubaneswar 761211, Odisha, India; [Banerjee, Pradipta] Indiana Univ Sch Med, Indiana Ctr Regenerat Med &amp; Engn ICRME, Dept Surg, Indianapolis, IN 46202 USA; [Barman, Saurav] Centurion Univ Technol &amp; Management, Dept Soil Sci, Bhubaneswar 761211, Odisha, India; [Banerjee, Arundhati] Paramed Coll Durgapur, Dept Med Lab Technol &amp; Biotechnol, Durgapur 713212, W Bengal, India; [Bag, Souvik; Chatterjee, Soumendranath] Univ Burdwan, Dept Zool, Parasitol &amp; Microbiol Res Lab, Bardhaman 713104, W Bengal, India; [Sarkar, Aniket; Bandyopadhyay, Bidyut; Panja, Anindya Sundar] Vidyasagar Univ, Oriental Inst Sci &amp; Technol, Dept Biotechnol, Mol Informat Lab, Midnapore 721102, W Bengal, India</t>
  </si>
  <si>
    <t>Centurion University of Technology &amp; Management; Indiana University System; Indiana University Bloomington; Centurion University of Technology &amp; Management; University of Burdwan; Vidyasagar University</t>
  </si>
  <si>
    <t>Barman, S (corresponding author), Centurion Univ Technol &amp; Management, Dept Soil Sci, Bhubaneswar 761211, Odisha, India.;Panja, AS (corresponding author), Vidyasagar Univ, Oriental Inst Sci &amp; Technol, Dept Biotechnol, Mol Informat Lab, Midnapore 721102, W Bengal, India.</t>
  </si>
  <si>
    <t>0001-706X</t>
  </si>
  <si>
    <t>1873-6254</t>
  </si>
  <si>
    <t>10.1016/j.actatropica.2024.107356</t>
  </si>
  <si>
    <t>Parasitology; Tropical Medicine</t>
  </si>
  <si>
    <t>Mondal, Susmita; Das, Monojit; Ghosh, Ria; Singh, Soumendra; Darbar, Soumendra; Bhattacharyya, Neha; Adhikari, Aniruddha; Das, Anjan Kumar; Bhattacharya, Siddhartha Sankar; Pal, Debasish; Mallick, Asim Kumar; Pal, Samir Kumar</t>
  </si>
  <si>
    <t>Organ-specific therapeutic nanoparticles generates radiolucent reactive species for potential nanotheranostics using conventional X-ray technique in mammals</t>
  </si>
  <si>
    <t>APPLIED NANOSCIENCE</t>
  </si>
  <si>
    <t>[Mondal, Susmita; Ghosh, Ria; Singh, Soumendra; Adhikari, Aniruddha; Pal, Samir Kumar] SN Bose Natl Ctr Basic Sci, Dept Chem Biol &amp; Macromol Sci, Block JD,Sect 3, Kolkata 700106, India; [Das, Monojit; Bhattacharya, Siddhartha Sankar; Pal, Debasish; Pal, Samir Kumar] Univ Calcutta, Uluberia Coll, Dept Zool, Uluberia 711315, Howrah, India; [Das, Monojit] Vidyasagar Univ, Dept Zool, Rangamati 721102, Midnapore, India; [Darbar, Soumendra] Deys Med Stores Mfg Ltd, Res &amp; Dev Div, 62 Bondel Rd, Kolkata 700019, India; [Bhattacharyya, Neha] Univ Calcutta, Dept Radio Phys &amp; Elect, 92 Acharya Prafulla Chandra Rd, Kolkata 700009, W Bengal, India; [Das, Anjan Kumar] Cooch Behar Govt Med Coll &amp; Hosp, Dept Pathol, Vivekananda Rd, Cooch Behar 736101, W Bengal, India; [Mallick, Asim Kumar] Nil Ratan Sirkar Med Coll &amp; Hosp, Dept Pediat Med, 38 Acharya Jagadish Chandra Bose Rd, Kolkata 700014, W Bengal, India</t>
  </si>
  <si>
    <t>Department of Science &amp; Technology (India); SN Bose National Centre for Basic Science (SNBNCBS); University of Calcutta; Vidyasagar University; University of Calcutta</t>
  </si>
  <si>
    <t>Pal, SK (corresponding author), SN Bose Natl Ctr Basic Sci, Dept Chem Biol &amp; Macromol Sci, Block JD,Sect 3, Kolkata 700106, India.;Pal, SK (corresponding author), Univ Calcutta, Uluberia Coll, Dept Zool, Uluberia 711315, Howrah, India.</t>
  </si>
  <si>
    <t>2190-5509</t>
  </si>
  <si>
    <t>2190-5517</t>
  </si>
  <si>
    <t>10.1007/s13204-022-02630-3</t>
  </si>
  <si>
    <t>Mohammad, Lal; Bandyopadhyay, Jatisankar; Rubel, S. K.; Mondal, Ismail; Nguyen, Trinh Trong; Lama, Giuseppe Francesco Cesare; Anh, Duong Tran</t>
  </si>
  <si>
    <t>Estimation of agricultural burned affected area using NDVI and dNBR satellite-based empirical models</t>
  </si>
  <si>
    <t>[Mohammad, Lal; Bandyopadhyay, Jatisankar] Vidyasagar Univ, Ctr Environm Studies, Midnapore, W Bengal, India; [Mohammad, Lal; Bandyopadhyay, Jatisankar; Rubel, S. K.] Vidyasagar Univ, Dept Remote Sensing &amp; GIS, Midnapore, W Bengal, India; [Mondal, Ismail] Univ Calcutta, Dept Marine Sci, Kolkata 700019, India; [Nguyen, Trinh Trong] HUTECH Univ, 475A,Dien Bien Phu,Ward 25, Ho Chi Minh City, Vietnam; [Lama, Giuseppe Francesco Cesare] Univ Naples Federico II, Dept Civil Achitectural &amp; Environm Engn DICEA, Naples, Italy; [Anh, Duong Tran] Van Lang Univ, Inst Computat Sci &amp; Artificial Intelligence, Lab Environm Sci &amp; Climate Change, Ho Chi Minh City, Vietnam; [Anh, Duong Tran] Van Lang Univ, Fac Environm, Sch Technol, Ho Chi Minh City, Vietnam</t>
  </si>
  <si>
    <t>Vidyasagar University; Vidyasagar University; University of Calcutta; Ho Chi Minh City University of Technology (HUTECH); University of Naples Federico II; Van Lang University; Van Lang University</t>
  </si>
  <si>
    <t>Nguyen, TT (corresponding author), HUTECH Univ, 475A,Dien Bien Phu,Ward 25, Ho Chi Minh City, Vietnam.</t>
  </si>
  <si>
    <t>10.1016/j.jenvman.2023.118226</t>
  </si>
  <si>
    <t>Fowler, Aubrey; Das, Arindam; Fowler, Jie Gao</t>
  </si>
  <si>
    <t>Literary Criticism in Advertising and Consumer Research: Revisiting Barbara Stern</t>
  </si>
  <si>
    <t>JOURNAL OF ADVERTISING</t>
  </si>
  <si>
    <t>[Fowler, Aubrey; Fowler, Jie Gao] Valdosta State Univ, Valdosta, GA USA; [Das, Arindam] Alliance Univ, Bangalore, Karnataka, India; [Fowler, Aubrey; Fowler, Jie Gao] Univ Nebraska, Lincoln, NE 68583 USA; [Fowler, Aubrey; Fowler, Jie Gao] Valdosta State Univ, Langdale Coll Business Adm, Mkt, Valdosta, GA 31698 USA; [Das, Arindam] Vidyasagar Univ, Kolkata, India</t>
  </si>
  <si>
    <t>University System of Georgia; Valdosta State University; Alliance University; University of Nebraska System; University of Nebraska Lincoln; University System of Georgia; Valdosta State University; Vidyasagar University</t>
  </si>
  <si>
    <t>Fowler, JG (corresponding author), Valdosta State Univ, Langdale Coll Business Adm, Valdosta, GA 31698 USA.</t>
  </si>
  <si>
    <t>0091-3367</t>
  </si>
  <si>
    <t>1557-7805</t>
  </si>
  <si>
    <t>10.1080/00913367.2022.2031353</t>
  </si>
  <si>
    <t>Business; Communication</t>
  </si>
  <si>
    <t>Business &amp; Economics; Communication</t>
  </si>
  <si>
    <t>Mahammad, Sadik; Islam, Aznarul; Shit, Pravat Kumar; Islam, Abu Reza Md Towfiqul; Alam, Edris</t>
  </si>
  <si>
    <t>Groundwater level dynamics in a subtropical fan delta region and its future prediction using machine learning tools: Sustainable groundwater restoration</t>
  </si>
  <si>
    <t>JOURNAL OF HYDROLOGY-REGIONAL STUDIES</t>
  </si>
  <si>
    <t>[Mahammad, Sadik; Islam, Aznarul] Aliah Univ, Dept Geog, 17 Gora Chand Rd, Kolkata 700014, India; [Shit, Pravat Kumar] Vidyasagar Univ, Raja NL Khan Womens Coll, PG Dept Geog, Midnapore, West Bengal, India; [Islam, Abu Reza Md Towfiqul] Begum Rokeya Univ, Dept Disaster Management, Rangpur, Bangladesh; [Islam, Abu Reza Md Towfiqul] Daffodil Int Univ, Dept Dev Studies, Dhaka 1216, Bangladesh; [Alam, Edris] Rabdan Acad, Fac Resilience, Abu Dhabi 114646, U Arab Emirates; [Alam, Edris] Univ Chittagong, Dept Geog &amp; Environm Studies, Chittagong 4331, Bangladesh</t>
  </si>
  <si>
    <t>Aliah University; Vidyasagar University; Daffodil International University; University of Chittagong</t>
  </si>
  <si>
    <t>Islam, A (corresponding author), Aliah Univ, Dept Geog, 17 Gora Chand Rd, Kolkata 700014, India.;Islam, ARMT (corresponding author), Begum Rokeya Univ, Dept Disaster Management, Rangpur, Bangladesh.</t>
  </si>
  <si>
    <t>2214-5818</t>
  </si>
  <si>
    <t>10.1016/j.ejrh.2023.101385</t>
  </si>
  <si>
    <t>Nandi, Utpal; Ghorai, Anudyuti; Singh, Moirangthem Marjit; Changdar, Chiranjit; Bhakta, Shubhankar; Pal, Rajat Kumar</t>
  </si>
  <si>
    <t>Indian sign language alphabet recognition system using CNN with diffGrad optimizer and stochastic pooling</t>
  </si>
  <si>
    <t>[Nandi, Utpal] Vidyasagar Univ, Dept Comp Sci, Midnapore, W Bengal, India; [Ghorai, Anudyuti] Kharagpur Coll, Dept Comp Sci, Kharagpur, W Bengal, India; [Ghorai, Anudyuti] Kharagpur Coll, BCA, Kharagpur, W Bengal, India; [Singh, Moirangthem Marjit] North Eastern Reg Inst Sci &amp; Technol, Dept Comp Sci &amp; Engn, Nirjuli, Arunachal Prade, India; [Changdar, Chiranjit] Belda Coll, Dept Comp Sci, Belda, W Bengal, India; [Bhakta, Shubhankar] Mahishadal Girls Coll, Dept Comp Sci, Purba Medinipur, W Bengal, India; [Pal, Rajat Kumar] Univ Calcutta, Dept Comp Sci &amp; Engn, Kolkata, W Bengal, India</t>
  </si>
  <si>
    <t>Vidyasagar University; North Eastern Regional Institute of Science &amp; Technology (NERIST); Mahishadal Girls College; University of Calcutta</t>
  </si>
  <si>
    <t>Nandi, U (corresponding author), Vidyasagar Univ, Dept Comp Sci, Midnapore, W Bengal, India.</t>
  </si>
  <si>
    <t>10.1007/s11042-021-11595-4</t>
  </si>
  <si>
    <t>Emergent multipath COVID-19 specimen collection problem with green corridor through variable length GA</t>
  </si>
  <si>
    <t>[Maji, Somnath] Maulana Abul Kalam Azad Univ Technol, Dept Comp Sci &amp; Engn, Nadia 741249, WB, India; [Pradhan, Kunal] Tezpur Univ, Dept Comp Sci &amp; Engn, Tezpur, India; [Maity, Samir; Nielsen, Izabela Ewa] Aalborg Univ, Dept Mat &amp; Prod, Operat Res Grp, DK-9220 Aalborg, Denmark; [Giri, Debasis] Maulana Abul Kalam Azad Univ Technol, Dept Informat Technol, Nadia 741249, WB, India; [Maiti, Manoranjan] Vidyasagar Univ, Dept Appl Math Oceanol &amp; Comp Programming, Midnapore, W Bengal, India</t>
  </si>
  <si>
    <t>Maji, S (corresponding author), Maulana Abul Kalam Azad Univ Technol, Dept Comp Sci &amp; Engn, Nadia 741249, WB, India.</t>
  </si>
  <si>
    <t>10.1016/j.eswa.2023.120879</t>
  </si>
  <si>
    <t>Jana, C; Siab, A; Khan, MSA; Pal, M; Martinez, L; Jan, MA</t>
  </si>
  <si>
    <t>Jana, Chiranjibe; Siab, Afra; Khan, Muhammad Sajjad Ali; Pal, Madhumangal; Martinez, Luis; Asif Jan, Muhammad</t>
  </si>
  <si>
    <t>Decision-making for supplier selection problems based on QUALIFLEX technique using likelihood method in LIVIFS environment</t>
  </si>
  <si>
    <t>LIVFNs; Likelihood method; QUALIFLEX method; Supplier selection</t>
  </si>
  <si>
    <t>TYPE-2 FUZZY-SETS</t>
  </si>
  <si>
    <t>The notion of linguistic interval -valued intuitionistic fuzzy set (LIVIFS) is one of the best tools in order to deal with the qualitative decision making problems. Therefore, in this paper a linguistic interval -valued intuitionistic fuzzy (LIVIF) QUALIFLEX method with a likelihood -based comparison approach is proposed. First, the notion of likelihood of fuzzy preference relation (FPRs) to compare the linguistic interval valued intuitionistic fuzzy numbers (LIVIFNs). By employing a criterion -wise preference assessment of alternatives through the comparison of likelihoods, we introduce a novel QUALIFLEX-based model. This model aims to quantify the degree of concordance in the complete preference order for effective management of decisions involving multiple criteria. We demonstrate the practicality and applicability of the proposed methods through an illustrative example, specifically focusing on the context of Supplier Selection Problems. To validate the efficacy of the proposed methodology, a comparative analysis is performed against other existing methods.</t>
  </si>
  <si>
    <t>[Jana, Chiranjibe] Saveetha Inst Med &amp; Tech Sci SIMATS, Saveetha Sch Engn, Chennai 602105, Tamil Nadu, India; [Siab, Afra; Asif Jan, Muhammad] Kohat Univ Sci &amp; Technol, Inst Numer Sci, Kohat, KP, Pakistan; [Khan, Muhammad Sajjad Ali] Khushal Khan Khattak Univ, Dept Math, Karak, KPK, Pakistan; [Pal, Madhumangal] Vidyasagar Univ, Dept Appl Math Oceanol &amp; Comp Programming, Midnapore 721102, India; [Martinez, Luis] Univ Jaen, Dept Comp Sci, Jaen 23071, Spain</t>
  </si>
  <si>
    <t>Saveetha Institute of Medical &amp; Technical Science; Saveetha School of Engineering; Kohat University of Science &amp; Technology; Vidyasagar University; Universidad de Jaen</t>
  </si>
  <si>
    <t>Martinez, L (corresponding author), Univ Jaen, Dept Comp Sci, Jaen 23071, Spain.</t>
  </si>
  <si>
    <t>10.1016/j.eswa.2024.124136</t>
  </si>
  <si>
    <t>Sharry; Dutta, Debiprosad; Ghosh, Mrittika; Chandra, Swarniv</t>
  </si>
  <si>
    <t>Magnetosonic Shocks and Solitons in Fermi Plasma With Quasiperiodic Perturbation</t>
  </si>
  <si>
    <t>IEEE TRANSACTIONS ON PLASMA SCIENCE</t>
  </si>
  <si>
    <t>[Sharry] Guru Nanak Dev Univ, Dept Phys, Amritsar 143005, Punjab, India; [Dutta, Debiprosad] Vidyasagar Univ, Dept Phys, Kolkata 721102, India; [Ghosh, Mrittika] West Bengal State Univ WBSU, Acharya Prafulla Chandra Coll, Kolkata 700126, India; [Chandra, Swarniv] Govt Gen Degree Coll Kushmandi, Phys Dept, Dakshin Dinajpur 733121, India; [Chandra, Swarniv] Inst Nat Sci &amp; Appl Technol, Kolkata 700032, India</t>
  </si>
  <si>
    <t>Guru Nanak Dev University; Vidyasagar University; West Bengal State University</t>
  </si>
  <si>
    <t>Chandra, S (corresponding author), Govt Gen Degree Coll Kushmandi, Phys Dept, Dakshin Dinajpur 733121, India.</t>
  </si>
  <si>
    <t>0093-3813</t>
  </si>
  <si>
    <t>1939-9375</t>
  </si>
  <si>
    <t>10.1109/TPS.2022.3148183</t>
  </si>
  <si>
    <t>Physics, Fluids &amp; Plasmas</t>
  </si>
  <si>
    <t>Ghosh, Sujay; Das, Naveen</t>
  </si>
  <si>
    <t>Corporate Social Responsibility in the Time of Pandemic: An Indian Overview</t>
  </si>
  <si>
    <t>COVID-19, THE GLOBAL SOUTH AND THE PANDEMIC'S DEVELOPMENT IMPACT</t>
  </si>
  <si>
    <t>[Ghosh, Sujay] Vidyasagar Univ, Polit Sci, Midnapore, India; [Ghosh, Sujay] Uluberia Coll, Howrah, India; [Ghosh, Sujay] Univ Calcutta, Kolkata, India; [Das, Naveen] Adamas Univ, Sch Business &amp; Econ, Kolkata, India; [Das, Naveen] Adamas Univ, Kolkata, India; [Das, Naveen] IBS Business Sch, Hyderabad, Telangana, India; [Das, Naveen] IBS Business Sch, Kolkata, India; [Das, Naveen] Indian Sch Business, Hyderabad, Telangana, India; [Das, Naveen] NSHM Knowledge Campus, Sch Business &amp; Management, Kolkata, India</t>
  </si>
  <si>
    <t>Vidyasagar University; University of Calcutta; Indian School of Business (ISB)</t>
  </si>
  <si>
    <t>Ghosh, S (corresponding author), Vidyasagar Univ, Polit Sci, Midnapore, India.</t>
  </si>
  <si>
    <t>BRISTOL UNIV PR</t>
  </si>
  <si>
    <t>1-9 OLD PARK HILL, BRISTOL, BS2 8BB, ENGLAND</t>
  </si>
  <si>
    <t>Development Studies; Public, Environmental &amp; Occupational Health; Public Administration</t>
  </si>
  <si>
    <t>Projection based regret theory on three-way decision model in probabilistic interval-valued q-rung orthopair hesitant fuzzy set and its application to medicine company</t>
  </si>
  <si>
    <t>[Giri, Binoy Krishna; Roy, Sankar Kumar] Vidyasagar Univ, Dept Appl Math Oceanol &amp; Comp Programming, Midnapore 721101, W Bengal, India; [Deveci, Muhammet] Natl Def Univ, Turkish Naval Acad, Dept Ind Engn, TR-34940 Istanbul, Turkiye; [Deveci, Muhammet] UCL, Bartlett Sch Sustainable Construct, Gower St, London WC1E 6BT, England; [Deveci, Muhammet] Lebanese Amer Univ, Dept Elect &amp; Comp Engn, Byblos, Lebanon</t>
  </si>
  <si>
    <t>Vidyasagar University; University of London; University College London; Lebanese American University</t>
  </si>
  <si>
    <t>Roy, SK (corresponding author), Vidyasagar Univ, Dept Appl Math Oceanol &amp; Comp Programming, Midnapore 721101, W Bengal, India.</t>
  </si>
  <si>
    <t>10.1007/s10462-023-10611-3</t>
  </si>
  <si>
    <t>Paul, Asim; Pervin, Magfura; Pinto, Renan Vicente; Roy, Sankar Kumar; Maculan, Nelson; Weber, Gerhard Wilhelm</t>
  </si>
  <si>
    <t>EFFECTS OF MULTIPLE PREPAYMENTS AND GREEN INVESTMENT ON AN EPQ MODEL</t>
  </si>
  <si>
    <t>[Paul, Asim; Roy, Sankar Kumar] Vidyasagar Univ, Dept Appl Math Oceanol &amp; Comp Programming, Midnapore 721102, W Bengal, India; [Pervin, Magfura] Brainware Univ, Dept Math, 398 Ramkrishnapur Rd, Kolkata 700125, W Bengal, India; [Pinto, Renan Vicente; Maculan, Nelson] Univ Fed Rio De Janeiro, PESC COPPE Grad Sch Engn, Caixa Postal 68511, BR-21941972 Rio De Janeiro, RJ, Brazil; [Pinto, Renan Vicente; Maculan, Nelson] Univ Fed Rio De Janeiro, Inst Math, Caixa Postal 68511, BR-21941972 Rio De Janeiro, RJ, Brazil; [Weber, Gerhard Wilhelm] Poznan Univ Tech, Ul Jacka Rychlewskiego 2, PL-60965 Poznan, Poland; [Weber, Gerhard Wilhelm] Inst Appl Math, Metu, Turkiye</t>
  </si>
  <si>
    <t>Vidyasagar University; Universidade Federal do Rio de Janeiro; Universidade Federal do Rio de Janeiro; Poznan University of Technology</t>
  </si>
  <si>
    <t>10.3934/jimo.2022234</t>
  </si>
  <si>
    <t>Kumar, Tanumi; Das, Prabir Kumar; Dey, Mansa; Bandyopadhyay, Soumya; Chandrasekar, K.; Das, Anup Kumar</t>
  </si>
  <si>
    <t>Modelling biophysical parameters of Indian Sundarbans mangroves using fully polarimetric L-band Synthetic Aperture Radar data and ground observations</t>
  </si>
  <si>
    <t>JOURNAL OF COASTAL CONSERVATION</t>
  </si>
  <si>
    <t>[Kumar, Tanumi; Das, Prabir Kumar] Indian Space Res Org, Reg Remote Sensing Ctr East, Natl Remote Sensing Ctr, BG-2,Act Area 1B, Kolkata 700163, India; [Dey, Mansa] Vidyasagar Univ, Dept Remote Sensing &amp; GIS, Paschim Medinipur 721102, India; [Bandyopadhyay, Soumya] Indian Space Res Org HQ, New BEL Rd, Bangalore 560231, India; [Chandrasekar, K.] Natl Remote Sensing Ctr, Hyderabad 500037, India; [Das, Anup Kumar] Space Applicat Ctr, Ahmadabad 380015, India</t>
  </si>
  <si>
    <t>Department of Space (DoS), Government of India; Indian Space Research Organisation (ISRO); National Remote Sensing Centre (NRSC); Vidyasagar University; Department of Space (DoS), Government of India; Indian Space Research Organisation (ISRO); Department of Space (DoS), Government of India; Indian Space Research Organisation (ISRO); National Remote Sensing Centre (NRSC); Department of Space (DoS), Government of India; Indian Space Research Organisation (ISRO); Space Applications Centre (SAC)</t>
  </si>
  <si>
    <t>Kumar, T (corresponding author), Indian Space Res Org, Reg Remote Sensing Ctr East, Natl Remote Sensing Ctr, BG-2,Act Area 1B, Kolkata 700163, India.</t>
  </si>
  <si>
    <t>1400-0350</t>
  </si>
  <si>
    <t>1874-7841</t>
  </si>
  <si>
    <t>10.1007/s11852-023-00994-4</t>
  </si>
  <si>
    <t>Biodiversity Conservation; Environmental Sciences; Marine &amp; Freshwater Biology; Water Resources</t>
  </si>
  <si>
    <t>Biodiversity &amp; Conservation; Environmental Sciences &amp; Ecology; Marine &amp; Freshwater Biology; Water Resources</t>
  </si>
  <si>
    <t>Guchhait, Kartik Chandra; Manna, Tuhin; Barai, Manas; Karmakar, Monalisha; Nandi, Sourav Kumar; Jana, Debarati; Dey, Aditi; Panda, Suman; Raul, Priyanka; Patra, Anuttam; Bhattacharya, Rittwika; Chatterjee, Subhrangsu; Panda, Amiya Kumar; Ghosh, Chandradipa</t>
  </si>
  <si>
    <t>Antibiofilm and anticancer activities of unripe and ripe Azadirachta indica (neem) seed extracts</t>
  </si>
  <si>
    <t>BMC COMPLEMENTARY MEDICINE AND THERAPIES</t>
  </si>
  <si>
    <t>[Guchhait, Kartik Chandra; Manna, Tuhin; Karmakar, Monalisha; Jana, Debarati; Dey, Aditi; Raul, Priyanka; Ghosh, Chandradipa] Vidyasagar Univ, Dept Human Physiol, Midnapore 721102, W Bengal, India; [Barai, Manas; Panda, Amiya Kumar] Vidyasagar Univ, Dept Chem, Midnapore 721102, W Bengal, India; [Nandi, Sourav Kumar; Bhattacharya, Rittwika] Netaji Subhas Chandra Bose Canc Res Inst, Dept Mol Biol, 3081 Nayabad, Kolkata 700094, W Bengal, India; [Panda, Suman; Chatterjee, Subhrangsu] Bose Inst, Dept Biophys, P-1-12 CIT Rd, Kolkata 700054, W Bengal, India; [Patra, Anuttam] Lulea Univ Technol, Chem Interfaces Grp, SE-97187 Lulea, Sweden; [Panda, Amiya Kumar] Sadhu Ram Chand Murmu Univ Jhargram, Jhargram 721507, W Bengal, India</t>
  </si>
  <si>
    <t>Vidyasagar University; Vidyasagar University; Department of Science &amp; Technology (India); Bose Institute; Lulea University of Technology</t>
  </si>
  <si>
    <t>Ghosh, C (corresponding author), Vidyasagar Univ, Dept Human Physiol, Midnapore 721102, W Bengal, India.</t>
  </si>
  <si>
    <t>2662-7671</t>
  </si>
  <si>
    <t>10.1186/s12906-022-03513-4</t>
  </si>
  <si>
    <t>Integrative &amp; Complementary Medicine</t>
  </si>
  <si>
    <t>Patra, Ashoke Kumar; Srimayee, Soumya; Halder, Dibakar; Roy, Anik; Mukherjee, Souvik; Kundu, Somenath; Hossain, Maidul; Saha, Rajat; Lee, Chang-Hee; Manna, Debasis; Saha, Indrajit</t>
  </si>
  <si>
    <t>Transmembrane fluoride anion transport by meso-3,5-bis(trifluoromethyl)phenyl picket calix[4]pyrrole</t>
  </si>
  <si>
    <t>CHEMICAL COMMUNICATIONS</t>
  </si>
  <si>
    <t>[Patra, Ashoke Kumar; Halder, Dibakar; Roy, Anik; Mukherjee, Souvik; Saha, Indrajit] Ramakrishna Mission Residential Coll, Dept Chem, Kolkata 700103, India; [Srimayee, Soumya; Manna, Debasis] Indian Inst Technol Guwahati, Dept Chem, Gauhati 781039, India; [Kundu, Somenath; Hossain, Maidul] Vidyasagar Univ, Dept Chem, Midnapore 721102, India; [Saha, Rajat] Kazi Nazrul Univ, Dept Chem, Asansol 713340, India; [Lee, Chang-Hee] Kangwon Natl Univ, Dept Chem &amp; Biochem, Chunchon 24341, South Korea</t>
  </si>
  <si>
    <t>Indian Institute of Technology System (IIT System); Indian Institute of Technology (IIT) - Guwahati; Vidyasagar University; Kangwon National University</t>
  </si>
  <si>
    <t>Saha, I (corresponding author), Ramakrishna Mission Residential Coll, Dept Chem, Kolkata 700103, India.;Manna, D (corresponding author), Indian Inst Technol Guwahati, Dept Chem, Gauhati 781039, India.;Hossain, M (corresponding author), Vidyasagar Univ, Dept Chem, Midnapore 721102, India.;Saha, R (corresponding author), Kazi Nazrul Univ, Dept Chem, Asansol 713340, India.;Lee, CH (corresponding author), Kangwon Natl Univ, Dept Chem &amp; Biochem, Chunchon 24341, South Korea.</t>
  </si>
  <si>
    <t>1359-7345</t>
  </si>
  <si>
    <t>1364-548X</t>
  </si>
  <si>
    <t>10.1039/d3cc02032k</t>
  </si>
  <si>
    <t>Patra, S; Mir, SA; Khatun, A; Karan, P; Seal, T; Ghosh, A; Ghosh, K; Pradhan, S; Nayak, B; Dhara, B; Chakrabarti, S</t>
  </si>
  <si>
    <t>Patra, Surendra; Mir, Showkat Ahmad; Khatun, Amina; Karan, Putul; Seal, Tapan; Ghosh, Avishek; Ghosh, Kuntal; Pradhan, Shrabani; Nayak, Binata; Dhara, Bikram; Chakrabarti, Sudipta</t>
  </si>
  <si>
    <t>LC-MS, NMR analysis, molecular docking and simulation studies of phytoestrogen from Senna occidentalis L. pods against PPAR-α protein</t>
  </si>
  <si>
    <t>NATURAL PRODUCT RESEARCH</t>
  </si>
  <si>
    <t>Phytoestrogen; LC-MS; NMR; Senna occidentalis; kaempferol; naringenin; PPAR-alpha; in silico</t>
  </si>
  <si>
    <t>CASSIA-OCCIDENTALIS</t>
  </si>
  <si>
    <t>The present investigation is subjected to comprehensive phytoestrogen analysis from Senna occidentalis pre-winter and winter seasonal pods using LC-MS and NMR. The analysis of the extracts revealed the presence of many phytoestrogens. Furthermore, molecular docking studies were employed for the investigation of the in-silico interactions between the isolated phytoestrogens and PPAR-alpha. The results of the molecular docking study demonstrated that among the identified compounds, PPAR-alpha exhibited the highest binding affinity, with a binding energy of -8.5 kcal/mol. It was closely followed by kaempferol, myricetin, quercetin, and apigenin, with binding energies of -8.5 kcal/mol, -7.8 kcal/mol, -7.6 kcal/mol, and -7.3 kcal/mol, respectively. These findings indicate that the compounds may interact with PPAR-alpha, potentially altering its activity. The study reveals the presence of various phytochemicals and their potential interaction with PPAR-alpha, underscoring their promise for drug development. The notable binding affinities observed with PPAR-alpha hint at their prospective use in therapeutic interventions.</t>
  </si>
  <si>
    <t>[Patra, Surendra; Khatun, Amina; Ghosh, Kuntal; Chakrabarti, Sudipta] Midnapore City Coll, Dept Biol Sci, Paschim Medinipur, India; [Patra, Surendra; Khatun, Amina; Karan, Putul] Vidyasagar Univ, Biodivers &amp; Environm Studies Res Ctr, Midnapore City Coll, Midnapore, India; [Mir, Showkat Ahmad; Nayak, Binata] Sambalpur Univ, Sch Life Sci, Burla, India; [Karan, Putul; Ghosh, Avishek] Midnapore City Coll, Dept Pure &amp; Appl Sci, Paschim Medinipur, India; [Seal, Tapan] AJC Bose Indian Bot Garden, Bot Survey India, Plant Chem Dept, Howrah, India; [Pradhan, Shrabani] Midnapore City Coll, Dept Paramed &amp; Allied Hlth Sci, Paschim Medinipur, India; [Dhara, Bikram] Saveetha Inst Med &amp; Tech Sci, Saveetha Med Coll &amp; Hosp, Ctr Global Hlth Res, Chennai, India; [Dhara, Bikram] Novel Global Community Educ Fdn, Dept Hlth Sci, Hebersham, Australia</t>
  </si>
  <si>
    <t>Vidyasagar University; Sambalpur University; Botanical Survey of India (BSI); Saveetha Institute of Medical &amp; Technical Science; Saveetha Medical College &amp; Hospital</t>
  </si>
  <si>
    <t>Chakrabarti, S (corresponding author), Midnapore City Coll, Dept Biol Sci, Paschim Medinipur, India.</t>
  </si>
  <si>
    <t>1478-6419</t>
  </si>
  <si>
    <t>1478-6427</t>
  </si>
  <si>
    <t>NAT PROD RES</t>
  </si>
  <si>
    <t>Nat. Prod. Res.</t>
  </si>
  <si>
    <t>10.1080/14786419.2024.2430323</t>
  </si>
  <si>
    <t>Chemistry, Applied; Chemistry, Medicinal</t>
  </si>
  <si>
    <t>Chemistry; Pharmacology &amp; Pharmacy</t>
  </si>
  <si>
    <t>Sharma, P; Mondal, K; Tamang, S; Kumar, S; Najar, IN; Das, S; Mondal, KC; Thakur, N</t>
  </si>
  <si>
    <t>Sharma, Prayatna; Mondal, Krishnendu; Tamang, Sonia; Kumar, Santosh; Najar, Ishfaq Nabi; Das, Sayak; Mondal, Keshab Chandra; Thakur, Nagendra</t>
  </si>
  <si>
    <t>A malto-oligosaccharide forming thermostable acidic α-amylase from Bacillus stercoris YSP18 isolated from sediment of Sikkim hot spring: heterologous expression and characterisation</t>
  </si>
  <si>
    <t>Bacillus stercoris; alpha-amylase; Thermozymes; Maltooligosaccharides; Glycosyl hydrolases</t>
  </si>
  <si>
    <t>BIOCHEMICAL-CHARACTERIZATION; MALTOGENIC AMYLASE; PURIFICATION; IDENTIFICATION; STRAIN</t>
  </si>
  <si>
    <t>The current study deals with cloning and expressing a maltogenic alpha-amylase gene from thermophilic Bacillus stercoris YSP18 (AmyYSP) in Escherichia coli BL21 (DE3). AmyYSP belongs to the GH13_20 subfamily of Glycoside Hydrolases and entails five conserved regions found in maltogenic alpha-amylases. As a monomer of 67 kDa, AmyYSP exhibits maximal activity at 80 degrees C, pH 5.0 and retains &gt; 75% residual activity at 70-100 degrees C and pH 5.0-8.0. The kinetic and thermodynamic studies displayed that it has a high affinity for soluble starch (K-m = 1.54 +/- 0.236 mg mL(- 1)), exhibits a longer half-life (38.5 h at 80 degrees C and 8.88 h at 100 degrees C), and a higher EaD value of 3824 +/- 1.03 kJ mol(- 1). It was characterised as a Ca2+-independent alpha-amylase, resistant to various denaturing additives. It hydrolyses soluble starch and raw corn starch efficiently, liberating glucose, maltose, maltotriose and maltotetraose as the main products. The thermostable and acid-stable, maltooligosaccharide forming AmyYSP is a versatile enzyme with prerequisites for successful application in starch-saccharification industries.</t>
  </si>
  <si>
    <t>[Sharma, Prayatna; Tamang, Sonia; Kumar, Santosh; Thakur, Nagendra] Sikkim Univ, Sch Life Sci, Dept Microbiol, Gangtok 737102, Sikkim, India; [Mondal, Krishnendu; Mondal, Keshab Chandra] Vidyasagar Univ, Dept Microbiol, Midnapore 721102, W Bengal, India; [Najar, Ishfaq Nabi] CSIR IIIM, Fermentat &amp; Microbial Biotechnol Div, Jammu 180001, Jammu &amp; Kashmir, India; [Das, Sayak] Assam Univ, Har Gobind Khurana Sch Life Sci, Dept Life Sci &amp; Bioinformat, Silchar 788011, Assam, India</t>
  </si>
  <si>
    <t>Sikkim University; Vidyasagar University; Council of Scientific &amp; Industrial Research (CSIR) - India; CSIR - Indian Institute of Integrative Medicine (IIIM); Assam University</t>
  </si>
  <si>
    <t>Thakur, N (corresponding author), Sikkim Univ, Sch Life Sci, Dept Microbiol, Gangtok 737102, Sikkim, India.;Mondal, KC (corresponding author), Vidyasagar Univ, Dept Microbiol, Midnapore 721102, W Bengal, India.</t>
  </si>
  <si>
    <t>10.1007/s43393-024-00314-3</t>
  </si>
  <si>
    <t>Rakshit, S; Maji, D; Mondal, KG; Roy, T; Jana, PC; Kar, BS; Datta, R</t>
  </si>
  <si>
    <t>Rakshit, Soumen; Maji, Debabrata; Mondal, Krishna Gopal; Roy, Tamanna; Jana, Paresh Chandra; Kar, Bappa Sona; Datta, Raktim</t>
  </si>
  <si>
    <t>Structural, optical and magnetic properties of chemically grown copper oxide nanoparticles: An insight into anticancer activities</t>
  </si>
  <si>
    <t>MATERIALS CHEMISTRY AND PHYSICS</t>
  </si>
  <si>
    <t>Self-assembled CuO nanorods; Antiferromagnetism; Hysteresis loop width (Delta H); Cytotoxicity; MCF-7; Toxicity</t>
  </si>
  <si>
    <t>CUO NANOPARTICLES; GREEN SYNTHESIS; SIZE; CYTOTOXICITY; BEHAVIOR</t>
  </si>
  <si>
    <t>Self-assembling nanorods like copper oxide (CuO) nanoparticles (NPs) have been successfully synthesized using two different copper cationic precursors to investigate their structural, optical, and magnetic properties. These NPs are employed in anticancer applications. Both the CuO-NPs have been tested for their toxicity on human cells. The XRD patterns confirm the formation of monoclinic crystal structures for both the systems. The FESEM microstructural surface morphology shows high agglomeration and a typical elemental composition is evaluated from EDAX analysis. The HRTEM analysis reveals high crystalline CuO nanorods with diameters in the range of 60 similar to 94 nm and 09 similar to 22 similar to 22 nm for two different nanoparticles named CuO-NPs1 and CuO-NPs2, respectively. The optical band gap of CuO-NPs has been calculated from UV-visible absorption spectra and is found to be 2.18 eV and 2.55 eV for CuO-NPs1 and CuO-NPs2, respectively. FTIR analysis provides insights into the chemical compositions of both the CuO-NPs. Magnetization study using vibrating sample magnetometer (VSM) indicates antiferromagnetic-like properties associated with weak ferromagnetic behaviour. Cytotoxicity tests on MCF-7 cell lines show that CuO-NPs2 exhibit more pronounced effect with IC50 50 of 22.95 mu g/mL. The toxicity of both the CuO-NPs are also assessed using human lymphocytes, suggesting that CuO-NPs could be promoted as anticancer agents while remaining non-toxic to biological systems.</t>
  </si>
  <si>
    <t>[Rakshit, Soumen; Mondal, Krishna Gopal; Jana, Paresh Chandra] Vidyasagar Univ, Dept Phys, Midnapore 721102, WB, India; [Maji, Debabrata] Indian Inst Technol Guwahati, Dept Phys, Gauhati 781039, India; [Roy, Tamanna] Bankura Sammilani Med Coll &amp; Hosp, Dept Microbiol, Bankura 722102, West Bengal, India; [Kar, Bappa Sona] Panskura Banamali Coll, Dept Phys, Panskura 721152, West Bengal, India; [Datta, Raktim] Indian Assoc Cultivat Sci, Sch Mat Sci, Kolkata 700032, India</t>
  </si>
  <si>
    <t>Vidyasagar University; Indian Institute of Technology System (IIT System); Indian Institute of Technology (IIT) - Guwahati; Department of Science &amp; Technology (India); Indian Association for the Cultivation of Science (IACS) - Jadavpur</t>
  </si>
  <si>
    <t>Datta, R (corresponding author), Indian Assoc Cultivat Sci, Sch Mat Sci, Kolkata 700032, India.</t>
  </si>
  <si>
    <t>0254-0584</t>
  </si>
  <si>
    <t>1879-3312</t>
  </si>
  <si>
    <t>10.1016/j.matchemphys.2024.129794</t>
  </si>
  <si>
    <t>Ali, A; Motaleb, A; Alam, MT; Pandey, DK; Shafiullah</t>
  </si>
  <si>
    <t>Ali, Abad; Motaleb, Abdul; Alam, Md. Tauqir; Pandey, Dilip Kumar; Shafiullah</t>
  </si>
  <si>
    <t>Synthesis and Pharmacological Properties of Modified A- and D-Ring in Dehydroepiandrosterone (DHEA): A Review</t>
  </si>
  <si>
    <t>BIOLOGICAL EVALUATION; NEUROPROTECTIVE AGENTS; ANTITUMOR-ACTIVITY; DERIVATIVES; INHIBITORS</t>
  </si>
  <si>
    <t>Dehydroepiandrosterone (3 beta-hydroxyandrost-5-en-17-one) (DHEA) is a naturally occurring steroid hormone primarily produced in the zona reticularis of the human adrenal glands. It serves as a crucial precursor for sex hormones, such as testosterone, estradiol, and androstenedione. Recent findings indicate that DHEA serves as the primary source of sex steroids in women during both pre- and postmenopausal stages. Additionally, a decline in DHEA levels with age is linked to various hormone-deficiency symptoms. Despite the wide array of biological activities that make DHEA a valuable polycyclic natural steroid, particularly for pharmaceutical and cosmetic applications, reports suggest that oral DHEA has limited clinical effect. Thus, A- and D-ring modified DHEA are synthesized and their biological activities are carried out by different research groups and enhanced biological activity reported in the literature. Here, in this review, we have tried to cover all of the synthetic routes and biological studies of modified A- and D-ring DHEA from 2015 to mid-2022.</t>
  </si>
  <si>
    <t>[Ali, Abad; Shafiullah] Aligarh Muslim Univ, Fac Sci, Dept Chem, Aligarh 202002, Uttar Pradesh, India; [Motaleb, Abdul] Vidyasagar Univ, Midnapore Coll Autonomous, Dept Chem, Midnapore 721101, India; [Alam, Md. Tauqir] Aligarh Muslim Univ, Fac Life Sci, Dept Biochem, Aligarh 202002, Uttar Pradesh, India; [Pandey, Dilip Kumar] Okinawa Inst Sci &amp; Technol Grad Univ, Onna, Okinawa 9040495, Japan</t>
  </si>
  <si>
    <t>Aligarh Muslim University; Vidyasagar University; Midnapore College; Aligarh Muslim University; Okinawa Institute of Science &amp; Technology Graduate University</t>
  </si>
  <si>
    <t>Ali, A (corresponding author), Aligarh Muslim Univ, Fac Sci, Dept Chem, Aligarh 202002, Uttar Pradesh, India.</t>
  </si>
  <si>
    <t>JUL 16</t>
  </si>
  <si>
    <t>10.1021/acsomega.4c02808</t>
  </si>
  <si>
    <t>Das, SK; Yu, VF; Roy, SK; Weber, GW</t>
  </si>
  <si>
    <t>Das, Soumen Kumar; Yu, Vincent F.; Roy, Sankar Kumar; Weber, Gerhard Wilhelm</t>
  </si>
  <si>
    <t>Location-allocation problem for green efficient two-stage vehicle-based logistics system: A type-2 neutrosophic multi-objective modeling approach</t>
  </si>
  <si>
    <t>Location-allocation problem; Two-stage solid logistics modeling; Carbon emissions; Sustainable development; Type-2 set; Neutrosophic set</t>
  </si>
  <si>
    <t>FACILITY LOCATION; TRANSPORTATION PROBLEM; SUPPLIER SELECTION; CARBON EMISSION; FUZZY-LOGIC; OPTIMIZATION</t>
  </si>
  <si>
    <t>In recent decades, global climate change has become one of the most critical environmental issues, leading to increased environmental and social concerns about the sustainability of logistics networks. This study proposes a novel multi-objective, multi-facility location-allocation model for a two-stage solid logistics network that supports green practices. To account for uncertainty in real-world problems, some parameters of the model are represented as triangular type-2 neutrosophic numbers to deal with hesitant situations. The fuzzy model is then converted into a deterministic one using a new ranking approach. Three conflicting objective functions - minimizing total financial costs, maximizing customers' satisfaction levels, and ensuring sustainable and effective conveyances - are simultaneously optimized using the epsilon-constraint approach. The proposed model and solution approach are tested with two numerical examples. A comparative study is also presented, comparing the proposed approach with other Pareto-based multi-objective approaches, such as the global criterion approach, multi-objective fuzzy programming, and weighted Chebychev programming. Finally, the paper concludes with some remarks.</t>
  </si>
  <si>
    <t>[Das, Soumen Kumar] Midnapore City Coll, Dept Pure &amp; Appl Sci, Bhadutala 721129, West Bengal, India; [Das, Soumen Kumar; Roy, Sankar Kumar] Vidyasagar Univ, Dept Appl Math Oceanol &amp; Comp Programming, Midnapore 721102, West Bengal, India; [Yu, Vincent F.] Natl Taiwan Univ Sci &amp; Technol, Dept Ind Management, Taipei, Taiwan; [Yu, Vincent F.] Natl Taiwan Univ Sci &amp; Technol, Ctr Cyber Phys Syst Innovat, Taipei, Taiwan; [Weber, Gerhard Wilhelm] Poznan Univ Tech, Fac Engn Management, Poznan, Poland; [Weber, Gerhard Wilhelm] METU, IAM, Ankara, Turkiye</t>
  </si>
  <si>
    <t>Vidyasagar University; National Taiwan University of Science &amp; Technology; National Taiwan University of Science &amp; Technology; Poznan University of Technology; Middle East Technical University</t>
  </si>
  <si>
    <t>10.1016/j.eswa.2023.122174</t>
  </si>
  <si>
    <t>Das, Pulakesh; Panda, Rajendra Mohan; Dash, Padmanava; Jana, Anustup; Jana, Avijit; Ray, Debabrata; Tripathi, Poonam; Kolluru, Venkatesh</t>
  </si>
  <si>
    <t>Multi-Decadal Mapping and Climate Modelling Indicates Eastward Rubber Plantation Expansion in India</t>
  </si>
  <si>
    <t>[Das, Pulakesh] World Resources Inst India, Sustainable Landscapes &amp; Restorat, New Delhi 110016, India; [Das, Pulakesh; Jana, Anustup; Jana, Avijit] Vidyasagar Univ, Dept Remote Sensing &amp; GIS, Midnapore 721102, India; [Panda, Rajendra Mohan] Mississippi State Univ, Geosyst Res Inst, Mississippi State, MS 39759 USA; [Dash, Padmanava] Mississippi State Univ, Dept Geosci, Mississippi State, MS 39762 USA; [Ray, Debabrata] Rubber Res Inst India, Reg Res Stn, Agartala 799006, India; [Tripathi, Poonam] Int Ctr Integrated Mt Dev, Kathmandu 44700, Nepal; [Kolluru, Venkatesh] Univ South Dakota, Dept Sustainabil &amp; Environm, Vermillion, SD 57069 USA</t>
  </si>
  <si>
    <t>Vidyasagar University; Mississippi State University; Mississippi State University; University of South Dakota</t>
  </si>
  <si>
    <t>Dash, P (corresponding author), Mississippi State Univ, Dept Geosci, Mississippi State, MS 39762 USA.</t>
  </si>
  <si>
    <t>10.3390/su14137923</t>
  </si>
  <si>
    <t>Isakov, NA; Belousov, MV; Loglio, G; Miller, R; Nizhnikov, AA; Panda, AK; Noskov, BA</t>
  </si>
  <si>
    <t>Isakov, Nikolay A.; Belousov, Mikhail V.; Loglio, Giuseppe; Miller, Reinhard; Nizhnikov, Anton A.; Panda, Amiya K.; Noskov, Boris A.</t>
  </si>
  <si>
    <t>Cupin-1.1 Adsorption Layers at the Surface of 8 M Urea Solutions</t>
  </si>
  <si>
    <t>INTERFACE; TENSION</t>
  </si>
  <si>
    <t>The adsorption layers of cupin-1.1, one of the two evolutionary conserved beta-barrel domains of vicilin-the garden pea storage globulin-at the liquid-gas interface were studied by a few methods of the surface chemistry. The kinetic dependencies of the surface pressure of cupin-1.1 solutions in 8 M urea overlap in a single master curve if the surface pressure is plotted as a function of the normalized time. The analysis of the master curve allows separation of a few adsorption steps including the induction period, the regions of the diffusion-controlled and barrier-controlled adsorption kinetics, and a plateau region of slow adsorption. Another master curve can be constructed from the dependencies of the dynamic surface elasticity on surface pressure. This curve has some similarities with the corresponding results for recently studied cupin-1.1 spread layers on the surface of urea solutions and gliadin adsorption layers. There are also important distinctions with the master curve for adsorption layers of cupin-1.1 in the system without denaturants. This difference can be connected with the formation of larger and more rigid aggregates in pure water than the aggregates in urea solutions.</t>
  </si>
  <si>
    <t>[Isakov, Nikolay A.; Belousov, Mikhail V.; Nizhnikov, Anton A.; Noskov, Boris A.] St Petersburg State Univ, St Petersburg 199034, Russia; [Belousov, Mikhail V.; Nizhnikov, Anton A.] All Russia Res Inst Agr Microbiol, St Petersburg 196608, Russia; [Loglio, Giuseppe] Inst Condensed Matter Chem &amp; Technol Energy, I-16149 Genoa, Italy; [Miller, Reinhard] Tech Univ Darmstadt, D-64289 Darmstadt, Germany; [Panda, Amiya K.] Vidyasagar Univ, Dept Chem, Midnapore 721102, West Bengal, India</t>
  </si>
  <si>
    <t>Saint Petersburg State University; Consiglio Nazionale delle Ricerche (CNR); Istituto di Chimica della Materia Condensata e di Tecnologie per l Energia (ICMATE-CNR); Technical University of Darmstadt; Vidyasagar University</t>
  </si>
  <si>
    <t>Noskov, BA (corresponding author), St Petersburg State Univ, St Petersburg 199034, Russia.</t>
  </si>
  <si>
    <t>NOV 20</t>
  </si>
  <si>
    <t>10.1021/acs.jpcb.4c05607</t>
  </si>
  <si>
    <t>Kabiraj, Ashutosh; Halder, Urmi; Panja, Anindya Sundar; Chitikineni, Annapurna; Varshney, Rajeev K.; Bandopadhyay, Rajib</t>
  </si>
  <si>
    <t>Detailed genomic and biochemical characterization and plant growth promoting properties of an arsenic-tolerant isolate of Bacillus pacificus from contaminated groundwater of West Bengal, India</t>
  </si>
  <si>
    <t>[Kabiraj, Ashutosh; Halder, Urmi; Bandopadhyay, Rajib] Univ Burdwan, Dept Bot, Bardhaman 713104, W Bengal, India; [Chitikineni, Annapurna; Varshney, Rajeev K.] Vidyasagar Univ, Oriental Inst Sci &amp; Technol, Dept Biotechnol, Mol Informat Lab, Midnapore 721102, W Bengal, India; [Chitikineni, Annapurna; Varshney, Rajeev K.] Int Crops Res Inst Semi Arid Trop, Ctr Excellence Genom &amp; Syst Biol, Hyderabad, India; [Chitikineni, Annapurna; Varshney, Rajeev K.] Murdoch Univ, Ctr Crop &amp; Food Innovat, State Agr Biotechnol Ctr, Murdoch 6500, Australia</t>
  </si>
  <si>
    <t>University of Burdwan; Vidyasagar University; CGIAR; International Crops Research Institute for the Semi-Arid-Tropics (ICRISAT); Murdoch University</t>
  </si>
  <si>
    <t>Bandopadhyay, R (corresponding author), Univ Burdwan, Dept Bot, Bardhaman 713104, W Bengal, India.</t>
  </si>
  <si>
    <t>10.1016/j.bcab.2023.102825</t>
  </si>
  <si>
    <t>Mahish, Manas Kumar; Zangrando, Ennio; Patra, Apu; Vojtisek, Pavel; Manna, Subal Chandra</t>
  </si>
  <si>
    <t>Thiocyanato and Schiff base coordinated mono/di-nuclear Ni(II) complexes: Syntheses, crystal structures and protein binding</t>
  </si>
  <si>
    <t>[Mahish, Manas Kumar; Patra, Apu; Manna, Subal Chandra] Vidyasagar Univ, Dept Chem, Midnapore 721102, West Bengal, India; [Zangrando, Ennio] Univ Trieste, Dept Chem &amp; Pharmaceut Sci, I-34127 Trieste, Italy; [Vojtisek, Pavel] Charles Univ Prague, Dept Inorgan Chem, Hlavova 2030-8, Prague 2, Czech Republic</t>
  </si>
  <si>
    <t>Vidyasagar University; University of Trieste; Charles University Prague</t>
  </si>
  <si>
    <t>10.1016/j.poly.2023.116543</t>
  </si>
  <si>
    <t>Mahish, MK; Zangrando, E; Vojtisek, P; Manna, SC</t>
  </si>
  <si>
    <t>Mahish, Manas Kumar; Zangrando, Ennio; Vojtisek, Pavel; Manna, Subal Chandra</t>
  </si>
  <si>
    <t>Tryptophan moiety based tetranuclear Ni(II) complex: synthesis, crystal structure and fluorescence sensing</t>
  </si>
  <si>
    <t>Tetranuclear Ni(II) complex; Crystal structure; Fluorescence sensing; Enantiomeric Schiff base ligand</t>
  </si>
  <si>
    <t>METAL-ORGANIC FRAMEWORK; TRIDENTATE SCHIFF-BASE; HIGHLY SELECTIVE DETECTION; DNA/PROTEIN BINDING; COPPER(II) COMPLEXES; PICRIC ACID; MOLECULAR DOCKING; CU(II) COMPLEXES; CU-II; 2,4,6-TRINITROPHENOL</t>
  </si>
  <si>
    <t>Tryptophan moiety based Schiff base [H2L = N-(2-(hydroxy)-3-ethoxybenzylidene)tryptophan] was used to synthesize a tetra nuclear Ni(II) complex, namely [Ni4(L)4(dmf)(H2O)3].4(dmf).4(H2O) [dmf = dimethylformamide], which has been characterized by X-ray single crystal diffraction, electronic spectra and IR spectral techniques. The luminescent properties of the complex, examined in various organic solvents, highlighted that the metal complex displays a selective response toward nitroaromatic compounds, especially towards picric acid (PA), for which a LOD value of 3.93x10-7 M was calculated. The fluorescence sensing mechanism was investigated by fluorescence lifetime measurement and DFT calculations. The results showed that selective fluorescence sensing may be due to a combined effect of energy and electron transfer as well as electrostatic interaction.</t>
  </si>
  <si>
    <t>[Mahish, Manas Kumar; Manna, Subal Chandra] Vidyasagar Univ, Dept Chem, Midnapore 721102, West Bengal, India; [Zangrando, Ennio; Vojtisek, Pavel] Univ Trieste, Dept Chem &amp; Pharmaceut Sci, I-34127 Trieste, Italy; [Vojtisek, Pavel] Charles Univ Prague, Dept Inorgan Chem, Hlavova 2030-8, Prague 2, Czech Republic</t>
  </si>
  <si>
    <t>10.1016/j.ica.2024.121962</t>
  </si>
  <si>
    <t>Roy, Shovan; Khanra, Aditi; Maity, Samir; Pal, Rajat Kumar; Maiti, Manoranjan</t>
  </si>
  <si>
    <t>GA-ABC hybridization for profit maximization of green 4DTSPs with discrete and continuous variables</t>
  </si>
  <si>
    <t>[Roy, Shovan; Pal, Rajat Kumar] Univ Calcutta, Dept Comp Sci &amp; Engn, Kolkata, W Bengal, India; [Roy, Shovan] Midnapore Coll Autonomous, Dept Comp Sci, Midnapore 721101, W Bengal, India; [Khanra, Aditi] Bohichberia High Sch HS, Purba Medinipur 721649, W Bengal, India; [Maity, Samir] Aalborg Univ, Dept Mat &amp; Prod, Operat Res Grp, DK-9220 Aalborg, Denmark; [Maiti, Manoranjan] Vidyasagar Univ, Dept Appl Math Oceanol &amp; Comp Programming, Midnapore 721102, W Bengal, India</t>
  </si>
  <si>
    <t>University of Calcutta; Midnapore College; Aalborg University; Vidyasagar University</t>
  </si>
  <si>
    <t>Roy, S (corresponding author), Midnapore Coll Autonomous, Dept Comp Sci, Midnapore 721101, W Bengal, India.</t>
  </si>
  <si>
    <t>10.1051/e3sconf/202233600060</t>
  </si>
  <si>
    <t>Riaz, Muhammad; Farid, Hafiz Muhammad Athar; Jana, Chiranjibe; Pal, Madhumangal; Sarkar, Biswajit</t>
  </si>
  <si>
    <t>Efficient city supply chain management through spherical fuzzy dynamic multistage decision analysis</t>
  </si>
  <si>
    <t>[Riaz, Muhammad; Farid, Hafiz Muhammad Athar] Univ Punjab, Dept Math, Lahore, Pakistan; [Jana, Chiranjibe; Pal, Madhumangal] Vidyasagar Univ, Dept Appl Math Oceanol &amp; Comp Programming, Midnapore 721102, India; [Sarkar, Biswajit] Yonsei Univ, Dept Ind Engn, Seoul 03722, South Korea; [Sarkar, Biswajit] Saveetha Univ, Saveetha Inst Med &amp; Tech Sci, Saveetha Dent Coll, Ctr Transdisciplinary Res CFTR, Chennai 600077, Tamil Nadu, India</t>
  </si>
  <si>
    <t>University of Punjab; Vidyasagar University; Yonsei University; Saveetha Institute of Medical &amp; Technical Science; Saveetha Dental College &amp; Hospital</t>
  </si>
  <si>
    <t>10.1016/j.engappai.2023.106712</t>
  </si>
  <si>
    <t>Mukherjee, AK; Maity, G; Jablonsky, J; Roy, SK; Weber, GW</t>
  </si>
  <si>
    <t>Mukherjee, Alay Kumar; Maity, Gurupada; Jablonsky, Josef; Roy, Sankar Kumar; Weber, Gerhard Wilhelm</t>
  </si>
  <si>
    <t>A sustainable inventory optimisation considering imperfect production under uncertain environment</t>
  </si>
  <si>
    <t>Economic production quantity; time variant demand and carbon emission; imperfect production; development cost; fuzzy-random number</t>
  </si>
  <si>
    <t>DEPENDENT DEMAND; MODEL</t>
  </si>
  <si>
    <t>This study enhances economic production quantity model by incorporating repairable defective products within an uncertain environment. To reflect practical scenarios, demand and repair rates are modelled as exponential functions of time. The model considers both defective and used products as repairable, treating repaired items as new products. Additionally, the study addresses pollution by introducing four different carbon emission policies, each leading to the development of distinct models. A unique aspect of this model is the inclusion of development cost and the use of fuzzy-random cost parameters to account for real-life imprecision and market fluctuations. Next, fuzzy-random economic production quantity model is formulated based on these assumptions. Three numerical examples demonstrate the model's utility, revealing that the strictly permitted cap policy results in the shortest production time but higher cost per product. Sensitivity analysis further illustrates the impact of various model parameters. Thus, the main contributions of the study are two-fold: it discusses and validates four carbon taxation policies for different real-world scenarios and provides information related to the sensitivity of different parameters and key values of these parameters at which cost per product minimise.</t>
  </si>
  <si>
    <t>[Mukherjee, Alay Kumar; Roy, Sankar Kumar] Vidyasagar Univ, Dept Appl Math Oceanol &amp; Comp Programming, Midnapore 721102, W Bengal, India; [Maity, Gurupada] New Integrated Govt Sch, Jhargram, W Bengal, India; [Jablonsky, Josef] Prague Univ Econ &amp; Business, Fac Informat &amp; Stat, Dept Econometr, Prague, Czech Republic; [Weber, Gerhard Wilhelm] Poznan Univ Tech, Fac Engn Management, Poznan, Poland; [Weber, Gerhard Wilhelm] METU, IAM, Ankara, Turkiye</t>
  </si>
  <si>
    <t>Vidyasagar University; Prague University of Economics &amp; Business; Poznan University of Technology; Middle East Technical University</t>
  </si>
  <si>
    <t>10.1080/23302674.2024.2379540</t>
  </si>
  <si>
    <t>Kuila, A; Maity, R; Acharya, P; Sarkar, T; Bhakat, A; Brandao, P; Pattanayak, S; Maity, T; Dalai, S; Sarkar, K; Samanta, BC</t>
  </si>
  <si>
    <t>Kuila, Arun; Maity, Ribhu; Acharya, Prasun; Sarkar, Tuhin; Bhakat, Ankika; Brandao, Paula; Pattanayak, Satyajit; Maity, Tithi; Dalai, Sudipta; Sarkar, Keka; Samanta, Bidhan Chandra</t>
  </si>
  <si>
    <t>Exploring the Potential Fungicidal Applications of a Cu(II) Complex with Schiff Base and Carboxylates against Fusarium equisetum</t>
  </si>
  <si>
    <t>IN-VITRO; DNA-BINDING; COPPER(II) COMPLEXES; CRYSTAL-STRUCTURES; LIGANDS SYNTHESIS; PROTEIN-BINDING; ANTICANCER; CLEAVAGE; ASSAY; ANTIFUNGAL</t>
  </si>
  <si>
    <t>Given the critical need to preserve agricultural sustainability, there is an urgent call to address fungal infections. Our study presents a promising approach by focusing on SIX (Secreted in Xylem) proteins as a pivotal target for the development of innovative fungicidal strategies. Within the sphere of this study, we meticulously scrutinize the antifungal efficacy of our synthesized Cu(II) complex formulated as [Cu(L1)2(L2)]+(ClO4)-, where L1 represents (E)-cyclohexyl-N(pyridine-2-xlmethylene) methanamine and L2H denotes cinnamic acid, compared against a commercially available fungicide comprising 4% hexaconazole and 68% zineb. Employing in silico methodologies, we undertake a comparative analysis targeting SIX proteins to discern the potency of our compound. The X-ray diffraction, 1H NMR, and FTIR spectroscopic techniques were utilized to elucidate the structure of the complex methodically. The lipophilicity test of the complex signifies its potential lipophilic nature and prompted further investigation into the complex's interaction with DNA (DNA) and bovine serum albumin (BSA). The binding constant values suggested a notable interaction between the complex and both DNA and BSA. The antifungal test reveal that our complex emerges as a potent contender in the battle against Fusarium equisetum (F.E.), exhibiting a commendable efficacy that positions it as a viable substitute for the incumbent commercial fungicide. This discovery predicts well the prospect of bolstering agricultural resilience and safeguarding global food security in the face of pervasive fungal threats.</t>
  </si>
  <si>
    <t>[Kuila, Arun; Maity, Ribhu; Acharya, Prasun; Pattanayak, Satyajit; Samanta, Bidhan Chandra] Mugberia Gangadhar Mahavidyalaya, Dept Chem, Contai 721425, West Bengal, India; [Sarkar, Tuhin; Bhakat, Ankika; Sarkar, Keka] Univ Kalyani, Dept Microbiol, Kalyani 741235, West Bengal, India; [Brandao, Paula] Univ Aveiro, Dept Quim, CICECO, P-3810193 Aveiro, Portugal; [Maity, Tithi] Prabhat Kumar Coll, Dept Chem, Contai 721401, West Bengal, India; [Kuila, Arun; Acharya, Prasun; Dalai, Sudipta] Vidyasagar Univ, Dept Chem &amp; Chem Technol, Midnapore 721102, West Bengal, India</t>
  </si>
  <si>
    <t>Mugberia Gangadhar Mahavidyalaya; Kalyani University; Universidade de Aveiro; Vidyasagar University</t>
  </si>
  <si>
    <t>Samanta, BC (corresponding author), Mugberia Gangadhar Mahavidyalaya, Dept Chem, Contai 721425, West Bengal, India.;Sarkar, K (corresponding author), Univ Kalyani, Dept Microbiol, Kalyani 741235, West Bengal, India.;Dalai, S (corresponding author), Vidyasagar Univ, Dept Chem &amp; Chem Technol, Midnapore 721102, West Bengal, India.</t>
  </si>
  <si>
    <t>10.1021/acsomega.4c05824</t>
  </si>
  <si>
    <t>Palanikumar, Murugan; Jana, Chiranjibe; Sarkar, Biswajit; Pal, Madhumangal</t>
  </si>
  <si>
    <t>q-rung logarithmic Pythagorean neutrosophic vague normal aggregating operators and their applications in agricultural robotics</t>
  </si>
  <si>
    <t>[Palanikumar, Murugan] Saveetha Inst Med &amp; Tech Sci, Saveetha Sch Engn, Chennai 602105, India; [Jana, Chiranjibe; Pal, Madhumangal] Vidyasagar Univ, Dept Appl Math Oceanol &amp; Comp Programming, Midnapore 721102, India; [Sarkar, Biswajit] Yonsei Univ, Dept Ind Engn, 50 Yonsei Ro, Seoul 03722, South Korea; [Sarkar, Biswajit] Saveetha Univ, Saveetha Inst Med &amp; Tech Sci, Saveetha Med Coll, Ctr Global Hlth Res, Chennai 600077, Tamil Nadu, India</t>
  </si>
  <si>
    <t>Saveetha Institute of Medical &amp; Technical Science; Saveetha School of Engineering; Vidyasagar University; Yonsei University; Saveetha Institute of Medical &amp; Technical Science; Saveetha Medical College &amp; Hospital</t>
  </si>
  <si>
    <t>Sarkar, B (corresponding author), Yonsei Univ, Dept Ind Engn, 50 Yonsei Ro, Seoul 03722, South Korea.;Sarkar, B (corresponding author), Saveetha Univ, Saveetha Inst Med &amp; Tech Sci, Saveetha Med Coll, Ctr Global Hlth Res, Chennai 600077, Tamil Nadu, India.</t>
  </si>
  <si>
    <t>10.3934/math.20231544</t>
  </si>
  <si>
    <t>Sen, Anik; Putra, Miftahussurur Hamidi; Biswas, Abul Kalam; Behera, Anil Kumar; Gross, Axel</t>
  </si>
  <si>
    <t>Insight on the choice of sensitizers/dyes for dye sensitized solar cells: A review</t>
  </si>
  <si>
    <t>DYES AND PIGMENTS</t>
  </si>
  <si>
    <t>[Sen, Anik; Behera, Anil Kumar] Deemed Univ, GITAM Sch Sci, Computat Mat &amp; Drug Design Lab, GITAM,Dept Chem, Visakhapatnam 530045, Andhra Prades, India; [Putra, Miftahussurur Hamidi; Gross, Axel] Univ Ulm, Inst Theoret Chem, Albert Einstein Allee 11, D-89069 Ulm, Germany; [Biswas, Abul Kalam] Vidyasagar Univ, Mahishadal Raj Coll, Dept Chem, Midnapore 721628, West Bengal, India</t>
  </si>
  <si>
    <t>Gandhi Institute of Technology &amp; Management (GITAM); Ulm University; Vidyasagar University</t>
  </si>
  <si>
    <t>Sen, A (corresponding author), Deemed Univ, GITAM Sch Sci, Computat Mat &amp; Drug Design Lab, GITAM,Dept Chem, Visakhapatnam 530045, Andhra Prades, India.</t>
  </si>
  <si>
    <t>0143-7208</t>
  </si>
  <si>
    <t>1873-3743</t>
  </si>
  <si>
    <t>10.1016/j.dyepig.2023.111087</t>
  </si>
  <si>
    <t>Chemistry, Applied; Engineering, Chemical; Materials Science, Textiles</t>
  </si>
  <si>
    <t>Chemistry; Engineering; Materials Science</t>
  </si>
  <si>
    <t>Dey, Surya Kanta; Pradhan, Ananya; Roy, Tamanna; Das, Subhasis; Chattopadhyay, Dipankar; Choudhury, Sujata Maiti</t>
  </si>
  <si>
    <t>Biogenic polymer-encapsulated diosgenin nanoparticles: Biodistribution, pharmacokinetics, cellular internalization, and anticancer potential in breast cancer cells and tumor xenograft</t>
  </si>
  <si>
    <t>JOURNAL OF DRUG DELIVERY SCIENCE AND TECHNOLOGY</t>
  </si>
  <si>
    <t>[Dey, Surya Kanta; Pradhan, Ananya; Roy, Tamanna; Choudhury, Sujata Maiti] Vidyasagar Univ, Dept Human Physiol, Biochem Mol Endocrinol &amp; Reprod Physiol Lab, Midnapore 721102, West Bengal, India; [Das, Subhasis] Univ Illinois, Coll Med, Dept Surg, Chicago, IL 60612 USA; [Chattopadhyay, Dipankar] Univ Calcutta, Dept Polymer Sci &amp; Technol, 92 APC Rd, Kolkata 700009, West Bengal, India</t>
  </si>
  <si>
    <t>Vidyasagar University; University of Illinois System; University of Illinois Chicago; University of Illinois Chicago Hospital; University of Calcutta</t>
  </si>
  <si>
    <t>Choudhury, SM (corresponding author), Vidyasagar Univ, Dept Human Physiol, Biochem Mol Endocrinol &amp; Reprod Physiol Lab, Midnapore 721102, West Bengal, India.</t>
  </si>
  <si>
    <t>1773-2247</t>
  </si>
  <si>
    <t>2588-8943</t>
  </si>
  <si>
    <t>J DRUG DELIV SCI TEC</t>
  </si>
  <si>
    <t>J. Drug Deliv. Sci. Technol.</t>
  </si>
  <si>
    <t>10.1016/j.jddst.2022.103743</t>
  </si>
  <si>
    <t>Debnath, K; Roy, SK; Deveci, M; Tomásková, H</t>
  </si>
  <si>
    <t>Debnath, Kaushik; Roy, Sankar Kumar; Deveci, Muhammet; Tomaskova, Hana</t>
  </si>
  <si>
    <t>Integrated MADM approach based on extended MABAC method with Aczel-Alsina generalized weighted Bonferroni mean operator</t>
  </si>
  <si>
    <t>q-Rung orthopair fuzzy set; Aczel-Alsina operations; Generalized weighted Bonferroni mean; MABAC; MADM</t>
  </si>
  <si>
    <t>AGGREGATION OPERATORS; T-NORMS; FUZZY; SELECTION</t>
  </si>
  <si>
    <t>Currently, q-rung orthopair (q-ROF) set theory is one of the most effective set theories in dealing uncertainty associated with imprecise information. In complex decision-making problems, input variables can be described by q-ROF numbers to cope ambiguity. While, generalized weighted Bonferroni mean (GWBM) operator can reflect correlation among input arguments. Aczel-Alsina operations underline fair and accurate evaluation of decision-makers. Harnessing these benefits, a pioneering extension of the GWBM operator based on Aczel-Alsina operations is introduced. Simultaneously, a novel generalized distance measure is crafted, drawing inspiration from Dice and Jaccard similarities. Beside these, using stepwise weight assessment ratio analysis (SWARA) and multi-attribute border approximation area comparison (MABAC) methods, this study pioneers an integrated method, q-ROF-SWARA-MABAC for assessing and prioritizing factors and alternatives on q-ROF environment. Later, with the suggested model, a case study on high-speed rail corridor (HSRC) for India is solved, revealing Varanasi-Howrah HSRC as the most preferable choice.. Moving forward, detailed sensitive analysis of suggested model is performed to explore the pertinence and supremacy. Eventually, the outcomes manifest that novel framework is flexible, reliable, accurate and could be viable option to consider for future use.</t>
  </si>
  <si>
    <t>[Debnath, Kaushik; Roy, Sankar Kumar] Vidyasagar Univ, Dept Appl Math, Midnapore 721102, West Bengal, India; [Deveci, Muhammet] Natl Def Univ, Turkish Naval Acad, Dept Ind Engn, TR-34942 Istanbul, Turkiye; [Deveci, Muhammet] Lebanese Amer Univ, Dept Elect &amp; Comp Engn, Byblos, Lebanon; [Deveci, Muhammet] Western Caspian Univ, Baku 1001, Azerbaijan; [Tomaskova, Hana] Univ Hradec Kralove, Fac Informat &amp; Management, Rokitanskeho 62, Hradec Kralove, Czech Republic</t>
  </si>
  <si>
    <t>Vidyasagar University; Lebanese American University; Ministry of Education of Azerbaijan Republic; Western Caspian University; University of Hradec Kralove</t>
  </si>
  <si>
    <t>10.1007/s10462-024-10980-3</t>
  </si>
  <si>
    <t>Palanikumar, M.; Arulmozhi, K.; Jana, Chiranjibe; Pal, Madhumangal; Shum, K. P.</t>
  </si>
  <si>
    <t>New approach towards different bi-base of ordered b-semiring</t>
  </si>
  <si>
    <t>ASIAN-EUROPEAN JOURNAL OF MATHEMATICS</t>
  </si>
  <si>
    <t>[Palanikumar, M.] Anna Univ, St Joseph Coll Engn, Dept Math, Chennai 602117, Tamil Nadu, India; [Arulmozhi, K.] Bharath Inst Higher Educ &amp; Res, Chennai 600073, Tamil Nadu, India; [Jana, Chiranjibe; Pal, Madhumangal] Vidyasagar Univ, Dept Appl Math Oceanol &amp; Comp Programming, Midnapore 721102, India; [Shum, K. P.] Southwest Univ Chongqing, Sch Math &amp; Stat, Chongqing, Beibei, Peoples R China</t>
  </si>
  <si>
    <t>St. Joseph's College of Engineering, Chennai; Anna University; Anna University Chennai; Bharath Institute of Higher Education &amp; Research; Vidyasagar University</t>
  </si>
  <si>
    <t>1793-5571</t>
  </si>
  <si>
    <t>1793-7183</t>
  </si>
  <si>
    <t>10.1142/S1793557123500195</t>
  </si>
  <si>
    <t>Misra, Saumitra; Srivastava, Pankaj K.; Ghosh, Sambhunath; Das, Arnab K.; Dey, Shikendha K.; Ray, Dwijesh</t>
  </si>
  <si>
    <t>An alternative view on size and impact history of Ramgarh Crater, India: Evidence from high-resolution remote sensing imagery and gravity data</t>
  </si>
  <si>
    <t>[Misra, Saumitra] Univ KwaZulu Natal, SAEES, ZA-4000 Durban, South Africa; [Srivastava, Pankaj K.] Univ Petr &amp; Energy Studies, Dehra Dun 248007, India; [Ghosh, Sambhunath] Geol Survey India, 27 Jawaharlal Nehru Rd, Kolkata 700016, India; [Das, Arnab K.] 128 Jai Vignaharta Colony,Katol Rd, Nagpur 440013, India; [Dey, Shikendha K.] Vidyasagar Univ, Dept Remote Sensing &amp; GIS, Midnapore 721102, India; [Ray, Dwijesh] Phys Res Lab, Ahmadabad 380009, India</t>
  </si>
  <si>
    <t>University of Kwazulu Natal; University of Petroleum &amp; Energy Studies (UPES); Geological Survey India; Vidyasagar University; Department of Space (DoS), Government of India; Physical Research Laboratory - India</t>
  </si>
  <si>
    <t>Misra, S (corresponding author), Univ KwaZulu Natal, SAEES, ZA-4000 Durban, South Africa.</t>
  </si>
  <si>
    <t>10.1007/s12040-023-02093-2</t>
  </si>
  <si>
    <t>Hussain, S. Satham; Durga, N.; Hossein, Rahmonlou; Ganesh, Ghorai; Oscar, Castillo</t>
  </si>
  <si>
    <t>New Concepts on Quadripartitioned Single-Valued Neutrosophic Graph with Real-Life Application</t>
  </si>
  <si>
    <t>[Hussain, S. Satham] Jamal Mohamed Coll Autonomous, PG &amp; Res Dept Math, Tiruchirappalli 620020, Tamil Nadu, India; [Durga, N.] Vellore Inst Technol, Div Math, Sch Adv Sci, Chennai Campus, Chennai 600127, Tamil Nadu, India; [Hossein, Rahmonlou] Univ Mazandaran, Dept Math, Babolsar 4818839487, Iran; [Ganesh, Ghorai] Vidyasagar Univ, Dept Appl Math Oceanol &amp; Comp Programming, Midnapore 721102, India; [Oscar, Castillo] Tijuana Inst Technol, Dept Math, Tijuana 610101, Mexico</t>
  </si>
  <si>
    <t>Jamal Mohamed College; Vellore Institute of Technology (VIT); VIT Chennai; University of Mazandaran; Vidyasagar University</t>
  </si>
  <si>
    <t>Hussain, SS (corresponding author), Jamal Mohamed Coll Autonomous, PG &amp; Res Dept Math, Tiruchirappalli 620020, Tamil Nadu, India.</t>
  </si>
  <si>
    <t>10.1007/s40815-021-01205-8</t>
  </si>
  <si>
    <t>Patra, Apu; Sahay, Osheen; Mahish, Manas Kumar; Das, Mahua Rani; Saren, Dama; Paul, Aparup; Vojtisek, Pavel; Santra, Manas Kumar; Manna, Subal Chandra</t>
  </si>
  <si>
    <t>Linear dicarboxylato and tridentate chelating ligands coordinated Cu(II) complexes: Syntheses, crystal structures, protein binding and cytotoxicity studies</t>
  </si>
  <si>
    <t>[Patra, Apu; Mahish, Manas Kumar; Saren, Dama; Paul, Aparup; Manna, Subal Chandra] Vidyasagar Univ, Dept Chem, Midnapore 721102, W Bengal, India; [Sahay, Osheen; Das, Mahua Rani; Santra, Manas Kumar] Natl Ctr Cell Sci, NCCS Complex,Pune Univ Campus Ganeshkhind, Pune 411007, Maharashtra, India; [Vojtisek, Pavel] Charles Univ Prague, Dept Inorgan Chem, Prague 12843 2, Czech Republic</t>
  </si>
  <si>
    <t>Vidyasagar University; Department of Biotechnology (DBT) India; National Centre for Cell Science, Pune (NCCS); Charles University Prague</t>
  </si>
  <si>
    <t>Manna, SC (corresponding author), Vidyasagar Univ, Dept Chem, Midnapore 721102, W Bengal, India.;Santra, MK (corresponding author), Natl Ctr Cell Sci, NCCS Complex,Pune Univ Campus Ganeshkhind, Pune 411007, Maharashtra, India.</t>
  </si>
  <si>
    <t>10.1016/j.poly.2022.115888</t>
  </si>
  <si>
    <t>Gayen, Bijoy Krishna; Dutta, Dipanwita; Acharya, Prasenjit; Sreekesh, S.; Kulshrestha, Umesh Chandra; Acharya, Nachiketa</t>
  </si>
  <si>
    <t>Exploring the effect of waterbodies coupled with other environmental parameters to model PM2.5 over Delhi-NCT in northwest India</t>
  </si>
  <si>
    <t>ATMOSPHERIC POLLUTION RESEARCH</t>
  </si>
  <si>
    <t>[Gayen, Bijoy Krishna; Dutta, Dipanwita] Vidyasagar Univ, Dept Remote Sensing, Midnapore, W Bengal, India; [Gayen, Bijoy Krishna; Dutta, Dipanwita] Vidyasagar Univ, GIS, Midnapore, W Bengal, India; [Acharya, Prasenjit] Vidyasagar Univ, Dept Geog, Midnapore, W Bengal, India; [Sreekesh, S.] Jawaharlal Nehru Univ, Ctr Study Reg Dev, Sch Social Sci, New Delhi, India; [Kulshrestha, Umesh Chandra] Jawaharlal Nehru Univ, Sch Environm Sci, New Delhi, India; [Acharya, Nachiketa] Univ Colorado Boulder, CIRES, Boulder, CO USA; [Acharya, Nachiketa] NOAA Phys Sci Lab, Boulder, CO USA</t>
  </si>
  <si>
    <t>Vidyasagar University; Vidyasagar University; Vidyasagar University; Jawaharlal Nehru University, New Delhi; Jawaharlal Nehru University, New Delhi; University of Colorado System; University of Colorado Boulder</t>
  </si>
  <si>
    <t>Acharya, P (corresponding author), Vidyasagar Univ, Dept Geog, Midnapore, W Bengal, India.</t>
  </si>
  <si>
    <t>TURKISH NATL COMMITTEE AIR POLLUTION RES &amp; CONTROL-TUNCAP</t>
  </si>
  <si>
    <t>BUCA</t>
  </si>
  <si>
    <t>DOKUZ EYLUL UNIV, DEPT ENVIRONMENTAL ENGINEERING, TINAZTEPE CAMPUS, BUCA, IZMIR 35160, Turkiye</t>
  </si>
  <si>
    <t>1309-1042</t>
  </si>
  <si>
    <t>10.1016/j.apr.2022.101614</t>
  </si>
  <si>
    <t>Dutta, Kunal; Shityakov, Sergey; Zhu, Wei; Khalifa, Ibrahim</t>
  </si>
  <si>
    <t>High-risk meat and fish cooking methods of polycyclic aromatic hydrocarbons formation and its avoidance strategies</t>
  </si>
  <si>
    <t>FOOD CONTROL</t>
  </si>
  <si>
    <t>[Dutta, Kunal] Vidyasagar Univ, Dept Human Physiol, Midnapore 721102, West Bengal, India; [Shityakov, Sergey] ITMO Univ, Infochemistry Sci Ctr, Lab Chemoinformat, St Petersburg, Russia; [Zhu, Wei] Huazhong Agr Univ, Coll Food Sci &amp; Technol, Key Lab Environm Correlat Food Sci, Minist Educ, Wuhan 430070, Peoples R China; [Khalifa, Ibrahim] Benha Univ, Fac Agr, Food Technol Dept, Moshtohor 13736, Egypt</t>
  </si>
  <si>
    <t>Vidyasagar University; ITMO University; Huazhong Agricultural University; Egyptian Knowledge Bank (EKB); Benha University</t>
  </si>
  <si>
    <t>Dutta, K (corresponding author), Vidyasagar Univ, Dept Human Physiol, Midnapore 721102, West Bengal, India.</t>
  </si>
  <si>
    <t>0956-7135</t>
  </si>
  <si>
    <t>1873-7129</t>
  </si>
  <si>
    <t>10.1016/j.foodcont.2022.109253</t>
  </si>
  <si>
    <t>Bhattacharya, Manojit; Ghosh, Pratik; Patra, Prasanta; Mallick, Bidyut; Lee, Sang-Soo; Chakraborty, Chiranjib; Sharma, Ashish Ranjan; Patra, Bidhan Chandra</t>
  </si>
  <si>
    <t>TN strain proteome mediated therapeutic target mapping and multi-epitopic peptide-based vaccine development for Mycobacterium leprae</t>
  </si>
  <si>
    <t>INFECTION GENETICS AND EVOLUTION</t>
  </si>
  <si>
    <t>[Bhattacharya, Manojit] Fakir Mohan Univ, Dept Zool, Balasore 756020, Odisha, India; [Lee, Sang-Soo; Sharma, Ashish Ranjan] Hallym Univ, Chuncheon Sacred Heart Hosp, Inst Skeletal Aging &amp; Orthped Surg, Chuncheon Si 24252, Gangwon Do, South Korea; [Ghosh, Pratik; Patra, Prasanta; Patra, Bidhan Chandra] Vidyasagar Univ, Dept Zool, Midnapore 721102, W Bengal, India; [Mallick, Bidyut] Galgotias Coll Engn &amp; Technol, Dept Appl Sci, Knowledge Pk II, Greater Noida 201306, India; [Chakraborty, Chiranjib] Adamas Univ, Sch Life Sci &amp; Biotechnol, Dept Biotechnol, Barasat Barrackpore Rd, Kolkata 700126, W Bengal, India</t>
  </si>
  <si>
    <t>Fakir Mohan University; Hallym University; Vidyasagar University; Galgotias College of Engineering &amp; Technology (GCET)</t>
  </si>
  <si>
    <t>Lee, SS (corresponding author), Hallym Univ, Chuncheon Sacred Heart Hosp, Inst Skeletal Aging &amp; Orthped Surg, Chuncheon Si 24252, Gangwon Do, South Korea.;Chakraborty, C (corresponding author), Adamas Univ, Sch Life Sci &amp; Biotechnol, Dept Biotechnol, Barasat Barrackpore Rd, Kolkata 700126, W Bengal, India.</t>
  </si>
  <si>
    <t>1567-1348</t>
  </si>
  <si>
    <t>1567-7257</t>
  </si>
  <si>
    <t>INFECT GENET EVOL</t>
  </si>
  <si>
    <t>Infect. Genet. Evol.</t>
  </si>
  <si>
    <t>10.1016/j.meegid.2022.105245</t>
  </si>
  <si>
    <t>Bhunia, S; Das, SK; Jablonsky, J; Roy, SK</t>
  </si>
  <si>
    <t>Bhunia, Satyajit; Das, Soumen Kumar; Jablonsky, Josef; Roy, Sankar Kumar</t>
  </si>
  <si>
    <t>Evaluating carbon cap and trade policy effects on a multi-period bi-objective closed-loop supply chain in retail management under mixed uncertainty: Towards greener horizons</t>
  </si>
  <si>
    <t>Closed-loop supply chain; Multi-period retail management; Carbon cap and trade policy; Intuitionistic fuzzy set; Type-2 fuzzy set; Multi-objective optimization</t>
  </si>
  <si>
    <t>TYPE-2 FUZZY-SETS; LOCATION PROBLEM; MODEL; TRANSPORTATION; LOGISTICS; EMISSION; DESIGN; IMPACT</t>
  </si>
  <si>
    <t>In response to the growing imperative of addressing environmental concerns and aligning with governmental regulations in supply chain management, this study navigates the optimization landscape of closed -loop supply chains through the lens of carbon cap and trade policy. The optimization model aims to account for the impact of consumer demands, distribution networks, and retail operations on the overall closed -loop supply chain dynamics. The innovative approach introduces an optimization model designed to grapple with the challenges posed by imprecise information within an intuitionistic type -2 fuzzy framework. The bi-objective mixedinteger model integrates pivotal objectives, including carbon emissions reduction, total cost minimization, and trade policy compliance. For a nuanced comprehension of the proposed model, we present three numerical examples, offering clarity on its complexities. Following this, a sensitivity analysis visually depicts the impact of fluctuations in demand and capacity on the defined objective functions. Furthermore, these conclusions unveil promising avenues for future research and exploration within the ambit of this study.</t>
  </si>
  <si>
    <t>[Bhunia, Satyajit; Das, Soumen Kumar] Midnapore City Coll, Dept Pure &amp; Appl Sci, Bhadutala 721129, West Bengal, India; [Das, Soumen Kumar] Natl Taiwan Univ Sci &amp; Technol, Dept Ind Management, Taipei, Taiwan; [Jablonsky, Josef] Prague Univ Econ &amp; Business, Fac Informat &amp; Stat, Dept Econometr, Praha 3, Prague, Czech Republic; [Bhunia, Satyajit; Roy, Sankar Kumar] Vidyasagar Univ, Dept Appl Math Oceanol &amp; Comp Programming, Midnapore 721102, West Bengal, India</t>
  </si>
  <si>
    <t>National Taiwan University of Science &amp; Technology; Prague University of Economics &amp; Business; Vidyasagar University</t>
  </si>
  <si>
    <t>10.1016/j.eswa.2024.123889</t>
  </si>
  <si>
    <t>Palanikumar, M; Hezam, IM; Jana, C; Pal, M; Weber, GW</t>
  </si>
  <si>
    <t>Palanikumar, Murugan; Hezam, Ibrahim m.; Jana, Chiranjibe; Pal, Madhumangal; Weber, Gerhard-wilhelm</t>
  </si>
  <si>
    <t>MULTIPLE-ATTRIBUTE DECISION-MAKING FOR SELECTION OF MEDICAL ROBOTIC ENGINEERING BASED ON LOGARITHMIC SQUARE ROOT NEUTROSOPHIC NORMAL APPROACH</t>
  </si>
  <si>
    <t>AGGREGATION OPERATORS; FUZZY; SETS</t>
  </si>
  <si>
    <t>. We introduce the concept of logarithmic square root neutrosophic normal interval-valued set (LO-SRNSNIVS) based on multiple attribute decisionmaking (MADM) problems that can be solved in our communication. The logarithmic square root neutrosophic sets (LO-SRNSSs) are new approach of the interval-valued neutrosophic sets (IVNSSs) and neutrosophic sets (NSSs). We will examine a number of aggregating operators (AOs). The LO-SRNSNIV using weighted (LO-SRNSNIVW) operators of this article. Now, we presented logarithmic square root NSNIVW averaging (LO-SRNSNIVWA), logarithmic square root NSNIVW geomentric (LO-SRNSNIVWG), logarithmic square root generalized NSNIVW averaging (LO-SRGNSNIVWA) and logarithmic square root generalized NSNIVW geometric (LO-SRGNSNIVWG). We also develop an algorithm to solve MADM problems. A real-world scenario is given with examples, as well as explanations of how Euclidean distance (ED) and Hamming distance (HD) are applied. We will explain the properties of these sets using various algebraic structures. The notion for the scoring function, accuracy function and operational laws of the LO-SRNSNIVS. In addition to their simplicity and practicality, they can help determine which option is best to pursue. Thus, the results of the described models are more understandable and closely related to integer psi. A few proposed and existing models are also compared in order to demonstrate their validity and applicability.</t>
  </si>
  <si>
    <t>[Palanikumar, Murugan] Saveetha Inst Med &amp; Tech Sci SIMATS, Saveetha Sch Engn, Chennai 602105, Tamil Nadu, India; [Hezam, Ibrahim m.] Coll Sci King Saud Univ, Dept Stat &amp; Operat Res, Riyadh, Saudi Arabia; [Jana, Chiranjibe; Pal, Madhumangal] Vidyasagar Univ, Dept Appl Math Oceanol &amp; Comp Programming, Midnapore 721102, India; [Weber, Gerhard-wilhelm] Poznan Univ Tech, Fac Engn Management, Poznan, Poland</t>
  </si>
  <si>
    <t>Saveetha Institute of Medical &amp; Technical Science; Saveetha School of Engineering; King Saud University; Vidyasagar University; Poznan University of Technology</t>
  </si>
  <si>
    <t>10.3934/jimo.2024007</t>
  </si>
  <si>
    <t>Biswas, Gargi; Mukherjee, Debasish; Dutta, Nalok; Ghosh, Prithwi; Basu, Sankar</t>
  </si>
  <si>
    <t>EnCPdock: a web-interface for direct conjoint comparative analyses of complementarity and binding energetics in inter-protein associations</t>
  </si>
  <si>
    <t>[Biswas, Gargi] Weizmann Inst Sci, Dept Chem &amp; Struct Biol, IL-7610001 Rehovot, Israel; [Mukherjee, Debasish] Inst Mol Biol gGmbH IMB, Ackermannweg 4, D-55128 Mainz, Germany; [Dutta, Nalok] UCL, Fac Engn Sci, Dept Biochem Engn, London WC1E 6BT, England; [Ghosh, Prithwi] Vidyasagar Univ, Narajole Raj Coll, Dept Bot, Midnapore 721211, India; [Basu, Sankar] Univ Calcutta, Asutosh Coll, Dept Microbiol, 92 Shyama Prasad Mukherjee Rd, Kolkata 700026, India</t>
  </si>
  <si>
    <t>Weizmann Institute of Science; Institute of Molecular Biology (IMB); University of London; University College London; Vidyasagar University; University of Calcutta</t>
  </si>
  <si>
    <t>Basu, S (corresponding author), Univ Calcutta, Asutosh Coll, Dept Microbiol, 92 Shyama Prasad Mukherjee Rd, Kolkata 700026, India.</t>
  </si>
  <si>
    <t>10.1007/s00894-023-05626-0</t>
  </si>
  <si>
    <t>Guha, P; Roy, B; Nahak, P; Karmakar, G; Karak, A; Bykov, AG; Akentiev, AB; Noskov, BA; Dutta, K; Ghosh, C; Panda, AK</t>
  </si>
  <si>
    <t>Guha, Pritam; Roy, Biplab; Nahak, Prasant; Karmakar, Gourab; Karak, Atanu; Bykov, Alexey G.; Akentiev, Alexander B.; Noskov, Boris A.; Dutta, Kunal; Ghosh, Chandradipa; Panda, Amiya K.</t>
  </si>
  <si>
    <t>Dendrimer Induced Bilayer Disintegration of Hybrid Vesicles</t>
  </si>
  <si>
    <t>JOURNAL OF OLEO SCIENCE</t>
  </si>
  <si>
    <t>hybrid cationic vesicles; dendrimer; monolayer adsorption kinetics; AFM; cytotoxicity</t>
  </si>
  <si>
    <t>ION-PAIR AMPHIPHILE; ANTICANCER DRUG-DELIVERY; POLY(AMIDOAMINE) DENDRIMERS; PAMAM DENDRIMERS; TRANSEPITHELIAL TRANSPORT; LIPOSOME DISINTEGRATION; ANTISENSE; FILM; PHOSPHOLIPIDS; DERIVATIVES</t>
  </si>
  <si>
    <t>Physicochemical investigations on the inclusion of anionic polyamidoaminesuccinamic acid dendrimer, generation 5 (PAMAM-SA, G5) with positively charged hybrid vesicles (HCV), prepared using soylecithin, ion pair amphiphile (IPA), cholesterol and dihexadecyldimethylammonium bromide, were investigated by dynamic light scattering, transmission electron/atomic force microscopy (TEM/AFM), differential scanning calorimetry, fluorescence spectroscopy and surface pressure-time isotherm studies. Adsorption of dendrimer onto vesicle surface and subsequent bilayer disruption strongly depends on the bilayer composition and dendrimer concentration. Change in the zeta potential value with increasing dendrimer concentration suggests the dendrimer-vesicle interaction to be electrostatic in nature. AFM studies also confirm the adsorption of dendrimer as well as hole formation in the bilayer. Impact of the inclusion of dendrimer into the bilayer were further investigated through differential scanning calorimetry by monitoring the chain melting temperature and enthalpy of the chain melting processes. Dendrimer at low concentration does not alter bilayer integrity, while hole formations are noted at higher dendrimer concentration. Fluorescence anisotropy studies confirm the adsorption and subsequent bilayer disruption due to dendrimer inclusion. Dendrimer induced vesicle disintegration kinetics conclusively illustrate the transformation of cationic bilayer to monolayer and thereby exposing the role of IPA. In vitro cytotoxicity studies on PAMAM-SA, G5 and HCVs mixtures against human breast cancer cell line suggest that dendrimer-liposome aggregates (dendriosomes) exhibit substantial anticancer activities with insignificant side effects. It is expected that the dendriosomes may have application to host and deliver anticancer drug in the field of targeted drug delivery.</t>
  </si>
  <si>
    <t>[Guha, Pritam; Roy, Biplab; Nahak, Prasant; Karmakar, Gourab] Univ North Bengal, Dept Chem, Darjeeling 734013, West Bengal, India; [Guha, Pritam] Slovak Acad Sci, Polymer Inst, Dept Biomat Res, Bratislava 84541, Slovakia; [Roy, Biplab] Lulea Univ Technol, Chem Interfaces Grp, SE-97187 Lulea, Sweden; [Karak, Atanu; Panda, Amiya K.] Vidyasagar Univ, Dept Chem, Midnapore 721102, West Bengal, India; [Bykov, Alexey G.; Akentiev, Alexander B.; Noskov, Boris A.] St Petersburg State Univ, Dept Colloid Chem, Univ Site Pr 26, St Petersburg 198504, Russia; [Dutta, Kunal; Ghosh, Chandradipa] Vidyasagar Univ, Dept Human Physiol, Midnapore 721102, West Bengal, India</t>
  </si>
  <si>
    <t>University of North Bengal; Slovak Academy of Sciences; Polymer Institute, SAS; Lulea University of Technology; Vidyasagar University; Saint Petersburg State University; Vidyasagar University</t>
  </si>
  <si>
    <t>JAPAN OIL CHEMISTS SOC</t>
  </si>
  <si>
    <t>TOKYO</t>
  </si>
  <si>
    <t>YUSHI KOGYO KAIKAN BLDG, 13-11, NIHONBASHI 3-CHOME, CHUO-KU, TOKYO, 103-0027, JAPAN</t>
  </si>
  <si>
    <t>1345-8957</t>
  </si>
  <si>
    <t>1347-3352</t>
  </si>
  <si>
    <t>J OLEO SCI</t>
  </si>
  <si>
    <t>J. Oleo Sci.</t>
  </si>
  <si>
    <t>10.5650/jos.ess23097</t>
  </si>
  <si>
    <t>Chemistry, Applied; Food Science &amp; Technology</t>
  </si>
  <si>
    <t>Chemistry; Food Science &amp; Technology</t>
  </si>
  <si>
    <t>Ghosh, Pratik; Bhattacharya, Manojit; Patra, Prasanta; Sharma, Garima; Patra, Bidhan Chandra; Lee, Sang-Soo; Sharma, Ashish Ranjan; Chakraborty, Chiranjib</t>
  </si>
  <si>
    <t>Evaluation and Designing of Epitopic-Peptide Vaccine Against Bunyamwera orthobunyavirus Using M-Polyprotein Target Sequences</t>
  </si>
  <si>
    <t>[Ghosh, Pratik; Patra, Prasanta; Patra, Bidhan Chandra] Vidyasagar Univ, Dept Zool, Midnapore 721102, W Bengal, India; [Bhattacharya, Manojit] Fakir Mohan Univ, Dept Zool, Balasore 756020, Odisha, India; [Sharma, Garima] Kangwon Natl Univ, Coll Pharm, Neuropsychopharmacol &amp; Toxicol Program, Chuncheon Si, South Korea; [Lee, Sang-Soo; Sharma, Ashish Ranjan] Hallym Univ, Inst Skeletal Aging &amp; Orthoped Surg, Chuncheon Sacred Heart Hosp, Chuncheon Si 24252, Gangwon Do, South Korea; [Chakraborty, Chiranjib] Adamas Univ, Sch Life Sci &amp; Biotechnol, Dept Biotechnol, Barasat Barrackpore Rd, Kolkata 700126, W Bengal, India</t>
  </si>
  <si>
    <t>Vidyasagar University; Fakir Mohan University; Kangwon National University; Hallym University</t>
  </si>
  <si>
    <t>Sharma, AR (corresponding author), Hallym Univ, Inst Skeletal Aging &amp; Orthoped Surg, Chuncheon Sacred Heart Hosp, Chuncheon Si 24252, Gangwon Do, South Korea.;Chakraborty, C (corresponding author), Adamas Univ, Sch Life Sci &amp; Biotechnol, Dept Biotechnol, Barasat Barrackpore Rd, Kolkata 700126, W Bengal, India.</t>
  </si>
  <si>
    <t>10.1007/s10989-021-10322-9</t>
  </si>
  <si>
    <t>Biswas, Swapan; Bhowmik, Anal; Das, Arghya; Pal, Radha Raman; Majumder, Sonjoy</t>
  </si>
  <si>
    <t>Transitional Strength under Plasma: Precise Estimations of Astrophysically Relevant Electromagnetic Transitions of Ar7+, Kr7+, Xe7+, and Rn7+ under Plasma Atmosphere</t>
  </si>
  <si>
    <t>ATOMS</t>
  </si>
  <si>
    <t>[Biswas, Swapan; Pal, Radha Raman] Vidyasagar Univ, Dept Phys, Midnapore 721102, India; [Bhowmik, Anal] Univ Haifa, Dept Phys, IL-3498838 Haifa, Israel; [Bhowmik, Anal] Univ Haifa, Haifa Res Ctr Theoret Phys &amp; Astrophys, IL-3498838 Haifa, Israel; [Das, Arghya; Majumder, Sonjoy] Indian Inst Technol Kharagpur, Dept Phys, Kharagpur 721302, India</t>
  </si>
  <si>
    <t>Vidyasagar University; University of Haifa; University of Haifa; Indian Institute of Technology System (IIT System); Indian Institute of Technology (IIT) - Kharagpur</t>
  </si>
  <si>
    <t>Majumder, S (corresponding author), Indian Inst Technol Kharagpur, Dept Phys, Kharagpur 721302, India.</t>
  </si>
  <si>
    <t>2218-2004</t>
  </si>
  <si>
    <t>10.3390/atoms11060087</t>
  </si>
  <si>
    <t>Physics, Atomic, Molecular &amp; Chemical</t>
  </si>
  <si>
    <t>Das, M; Mondal, S; Ghosh, R; Darbar, S; Roy, L; Das, AK; Pal, D; Bhattacharya, SS; Mallick, AK; Kundu, JK; Pal, SK</t>
  </si>
  <si>
    <t>Das, Monojit; Mondal, Susmita; Ghosh, Ria; Darbar, Soumendra; Roy, Lopamudra; Das, Anjan Kumar; Pal, Debasish; Bhattacharya, Siddhartha Sankar; Mallick, Asim Kumar; Kundu, Jayanta Kumar; Pal, Samir Kumar</t>
  </si>
  <si>
    <t>A study of scarless wound healing through programmed inflammation, proliferation and maturation using a redox balancing nanogel</t>
  </si>
  <si>
    <t>JOURNAL OF BIOMEDICAL MATERIALS RESEARCH PART A</t>
  </si>
  <si>
    <t>angiogenesis; nanohydrogel; redox buffering; regeneration; scarless wound healing</t>
  </si>
  <si>
    <t>MOLECULAR-WEIGHT; STEM-CELLS; SCAFFOLDS; CHONDROGENESIS; CAST; POLYCAPROLACTONE; DIFFERENTIATION; VISCOELASTICITY; OSTEOGENESIS; DEPENDENCE</t>
  </si>
  <si>
    <t>In the study, we have shown the efficacy of an indigenously developed redox balancing chitosan gel with impregnated citrate capped Mn3O4 nanoparticles (nanogel). Application of the nanogel on a wound of preclinical mice model shows role of various signaling molecules and growth factors, and involvement of reactive oxygen species (ROS) at every stage, namely hemostasis, inflammation, and proliferation leading to complete maturation for the scarless wound healing. While in vitro characterization of nanogel using SEM, EDAX, and optical spectroscopy reveals pH regulated redox buffering capacity, in vivo preclinical studies on Swiss albino involving IL-12, IFN-gamma, and alpha-SMA signaling molecules and detailed histopathological investigation and angiogenesis on every stage elucidate role of redox buffering for the complete wound healing process.</t>
  </si>
  <si>
    <t>[Das, Monojit; Kundu, Jayanta Kumar] Vidyasagar Univ, Dept Zool, Midnapore, India; [Das, Monojit; Pal, Debasish; Bhattacharya, Siddhartha Sankar; Pal, Samir Kumar] Univ Calcutta, Uluberia Coll, Dept Zool, Howrah, India; [Mondal, Susmita; Ghosh, Ria; Pal, Samir Kumar] S N Bose Natl Ctr Basic Sci, Dept Chem &amp; Biol Sci, Kolkata, India; [Ghosh, Ria] Univ Calcutta, Dept Biochem, Kolkata, India; [Darbar, Soumendra] Deys Med Stores Mfg Ltd, Res &amp; Dev Div, Kolkata, India; [Roy, Lopamudra] Univ Calcutta, Dept Appl Opt &amp; Photon, Kolkata, W Bengal, India; [Das, Anjan Kumar] Coochbehar Govt Med Coll &amp; Hosp, Dept Pathol, Cooch Behar, India; [Mallick, Asim Kumar] Nil RatanSircar Med Coll &amp; Hosp, Dept Pediat, Kolkata, India; [Pal, Samir Kumar] Univ Calcutta, Uluberia Coll, Dept Zool, Uluberia 711315, India; [Kundu, Jayanta Kumar] Vidyasagar Univ, Dept Zool, Midnapore 721102, India</t>
  </si>
  <si>
    <t>Vidyasagar University; University of Calcutta; Department of Science &amp; Technology (India); SN Bose National Centre for Basic Science (SNBNCBS); University of Calcutta; University of Calcutta; University of Calcutta; Vidyasagar University</t>
  </si>
  <si>
    <t>Pal, SK (corresponding author), Univ Calcutta, Uluberia Coll, Dept Zool, Uluberia 711315, India.;Kundu, JK (corresponding author), Vidyasagar Univ, Dept Zool, Midnapore 721102, India.</t>
  </si>
  <si>
    <t>1549-3296</t>
  </si>
  <si>
    <t>1552-4965</t>
  </si>
  <si>
    <t>10.1002/jbm.a.37712</t>
  </si>
  <si>
    <t>Engineering, Biomedical; Materials Science, Biomaterials</t>
  </si>
  <si>
    <t>Das, M; Mondal, S; Ghosh, R; Roy, L; Das, AK; Bhattacharya, SS; Pal, D; Bhattacharya, D; Chakrabarti, P; Mallick, AK; Kundu, JK; Pal, SK</t>
  </si>
  <si>
    <t>Das, Monojit; Mondal, Susmita; Ghosh, Ria; Roy, Lopamudra; Das, Anjan Kumar; Bhattacharya, Siddhartha Sankar; Pal, Debasish; Bhattacharya, Debasish; Chakrabarti, Prantar; Mallick, Asim Kumar; Kundu, Jayanta Kumar; Pal, Samir Kumar</t>
  </si>
  <si>
    <t>A Pleiotropic Nanomedicine Mitigates Splenic Hyperplasia, Ineffective Erythropoiesis, G6PDH Anomaly through Redox Buffering in Preclinical Mice Model</t>
  </si>
  <si>
    <t>CHEMMEDCHEM</t>
  </si>
  <si>
    <t>Pleiotropic nanomedicine; Haematological disorder; Redox buffering; Splenic hyperplasia; Ineffective erythropoiesis; G6PDH anomaly</t>
  </si>
  <si>
    <t>AUTOIMMUNE HEMOLYTIC-ANEMIA; OXIDATIVE STRESS; NANOPARTICLES; MECHANISM; DISEASES; CANCER</t>
  </si>
  <si>
    <t>Here, we present a pleiotropic nanomedicine-a smart, functionalized redox buffering nanoparticle-that may be used to treat hematological diseases, associated splenic hyperplasia, and issues related to restricted erythropoiesis. With a diameter of 5-7 nm, the spherical nanomaterial is made of manganese oxide and citrate. Here, we have produced the novel nanomaterial and, using cutting-edge electron microscopic and spectroscopic techniques, extensively assessed its redox buffering potential in vitro with its structural integrity. Using an appropriate animal model (Phenylhydrazine, PHz, intoxicated C57BL/6J mice), we assessed the therapeutic efficacy of the redox buffering nanomedicine in the treatment of anemia and related consequences. We have further investigated the intricate molecular mechanism of the nanomedicine and its therapeutic impact, which includes increased erythropoiesis and G6PDH production, decreased inflammatory responses, mitigation of splenic hyperplasia, and synergistic intracellular redox buffering. To the best of our knowledge, our studies would find relevance in the innovative management of anemia, decreased erythropoiesis, and splenic hyperplasia.</t>
  </si>
  <si>
    <t>[Das, Monojit; Kundu, Jayanta Kumar] Vidyasagar Univ, Dept Zool, Midnapore 721102, India; [Das, Monojit; Bhattacharya, Siddhartha Sankar; Pal, Debasish; Pal, Samir Kumar] Univ Calcutta, Uluberia Coll, Dept Zool, Howrah 711315, India; [Mondal, Susmita; Ghosh, Ria; Pal, Samir Kumar] SN Bose Natl Ctr Basic Sci, Dept Chem &amp; Biol Sci, Block JD,Sect 3, Kolkata 700106, India; [Ghosh, Ria] Univ Calcutta, Dept Biochem, 35 Ballygunge Circular Rd, Kolkata 700019, India; [Roy, Lopamudra] Univ Calcutta, Dept Appl Opt &amp; Photon, JD 2,Sect 3, Kolkata 700106, W Bengal, India; [Das, Anjan Kumar] Coochbehar Govt Med Coll &amp; Hosp, Dept Pathol, Cooch Behar 736101, India; [Bhattacharya, Debasish] Nil Ratan Sircar Med Coll &amp; Hosp, Dept Gynecol &amp; Obstet, Kolkata 700014, India; [Chakrabarti, Prantar] Vivekananda Inst Med Sci, Dept Hematol, Kolkata 700026, India; [Mallick, Asim Kumar] Nil Ratan Sircar Med Coll &amp; Hosp, Dept Pediat Med, Kolkata 700014, India</t>
  </si>
  <si>
    <t>Vidyasagar University; University of Calcutta; Department of Science &amp; Technology (India); SN Bose National Centre for Basic Science (SNBNCBS); University of Calcutta; University of Calcutta</t>
  </si>
  <si>
    <t>Kundu, JK (corresponding author), Vidyasagar Univ, Dept Zool, Midnapore 721102, India.;Pal, SK (corresponding author), Univ Calcutta, Uluberia Coll, Dept Zool, Howrah 711315, India.;Pal, SK (corresponding author), SN Bose Natl Ctr Basic Sci, Dept Chem &amp; Biol Sci, Block JD,Sect 3, Kolkata 700106, India.</t>
  </si>
  <si>
    <t>1860-7179</t>
  </si>
  <si>
    <t>1860-7187</t>
  </si>
  <si>
    <t>10.1002/cmdc.202400698</t>
  </si>
  <si>
    <t>Mallick, Uzzwal Kumar; Rahman, Ashrafur; Biswas, Md. Haider Ali; Samsuzzoha, Md.; Roy, Sankar Kumar</t>
  </si>
  <si>
    <t>An Optimal Immunotherapeutic Treatment of HIV Infections to Regain the Targeted CD4+T Cell Count: A Boundary Value Problem Approach</t>
  </si>
  <si>
    <t>JOURNAL OF APPLIED NONLINEAR DYNAMICS</t>
  </si>
  <si>
    <t>[Mallick, Uzzwal Kumar; Biswas, Md. Haider Ali] Khulna Univ, Math Discipline, Khulna, Bangladesh; [Rahman, Ashrafur] Oakland Univ, Dept Math &amp; Stat, Rochester, MI 48309 USA; [Samsuzzoha, Md.] Swinburne Univ Technol, Dept Math, Melbourne, Australia; [Roy, Sankar Kumar] Vidyasagar Univ, Dept Appl Math Oceanol &amp; Comp Programming, Midnapore, West Bengal, India</t>
  </si>
  <si>
    <t>Khulna University; Oakland University; Swinburne University of Technology; Vidyasagar University</t>
  </si>
  <si>
    <t>Mallick, UK (corresponding author), Khulna Univ, Math Discipline, Khulna, Bangladesh.</t>
  </si>
  <si>
    <t>L &amp; H SCIENTIFIC PUBLISHING, LLC</t>
  </si>
  <si>
    <t>GLEN CARBON</t>
  </si>
  <si>
    <t>PO BOX 99, GLEN CARBON, IL 62034 USA</t>
  </si>
  <si>
    <t>2164-6457</t>
  </si>
  <si>
    <t>2164-6473</t>
  </si>
  <si>
    <t>10.5890/JAND.2023.03.003</t>
  </si>
  <si>
    <t>Engineering, Multidisciplinary; Mathematics, Interdisciplinary Applications; Physics, Multidisciplinary</t>
  </si>
  <si>
    <t>Engineering; Mathematics; Physics</t>
  </si>
  <si>
    <t>Hasanuzzaman, M; Shit, PK; Alqadhi, S; Almohamad, H; ben Hasher, FF; Abdo, HG; Mallick, J</t>
  </si>
  <si>
    <t>Hasanuzzaman, Md; Shit, Pravat Kumar; Alqadhi, Saeed; Almohamad, Hussein; ben Hasher, Fahdah Falah; Abdo, Hazem Ghassan; Mallick, Javed</t>
  </si>
  <si>
    <t>Utilizing Machine Learning Algorithms for the Development of Gully Erosion Susceptibility Maps: Evidence from the Chotanagpur Plateau Region, India</t>
  </si>
  <si>
    <t>gully erosion; Shape Index; Extreme Gradient Boost; Raiboni River; Random Forest; Erosivness Index</t>
  </si>
  <si>
    <t>SPATIAL PREDICTION; MODELS; REGRESSION; MORPHOLOGY; TREE</t>
  </si>
  <si>
    <t>Gully erosion is a serious environmental threat, compromising soil health, damaging agricultural lands, and destroying vital infrastructure. Pinpointing regions prone to gully erosion demands careful selection of an appropriate machine learning algorithm. This choice is crucial, as the complex interplay of various environmental factors contributing to gully formation requires a nuanced analytical approach. To develop the most accurate Gully Erosion Susceptibility Map (GESM) for India's Raiboni River basin, researchers harnessed the power of two cutting-edge machine learning algorithm: Extreme Gradient Boosting (XGBoost) and Random Forest (RF). For a comprehensive analysis, this study integrated 24 potential control factors. We meticulously investigated a dataset of 200 samples, ensuring an even balance between non-gullied and gullied locations. To assess multicollinearity among the 24 variables, we employed two techniques: the Information Gain Ratio (IGR) test and Variance Inflation Factors (VIF). Elevation, land use, river proximity, and rainfall most influenced the basin's GESM. Rigorous tests validated XGBoost and RF model performance. XGBoost surpassed RF (ROC 86% vs. 83.1%). Quantile classification yielded a GESM with five levels: very high to very low. Our findings reveal that roughly 12% of the basin area is severely affected by gully erosion. These findings underscore the critical need for targeted interventions in these highly susceptible areas. Furthermore, our analysis of gully characteristics unveiled a predominance of V-shaped gullies, likely in an active developmental stage, supported by an average Shape Index (SI) value of 0.26 and a mean Erosivness Index (EI) of 0.33. This research demonstrates the potential of machine learning to pinpoint areas susceptible to gully erosion. By providing these valuable insights, policymakers can make informed decisions regarding sustainable land management practices.</t>
  </si>
  <si>
    <t>[Hasanuzzaman, Md; Shit, Pravat Kumar] Raja NL Khan Womens Coll Autonomous, PG Dept Geog, Midnapore 721102, India; [Hasanuzzaman, Md] Vidyasagar Univ, Raja NL Khan Womens Coll Autonomous, Res Ctr Nat &amp; Appl Sci, Midnapore 721102, India; [Alqadhi, Saeed; Mallick, Javed] King Khalid Univ, Coll Engn, Dept Civil Engn, POB 94, Abha 61411, Saudi Arabia; [Almohamad, Hussein] Qassim Univ, Coll Languages &amp; Human Sci, Dept Geog, Buraydah 51452, Saudi Arabia; [ben Hasher, Fahdah Falah] Princess Nourah bint Abdulrahman Univ, Coll Humanities &amp; Social Sci, Dept Geog &amp; Environm Sustainabil, POB 84428, Riyadh 11671, Saudi Arabia; [Abdo, Hazem Ghassan] Tartous Univ, Fac Arts &amp; Humanities, Geog Dept, POB 2147, Tartous, Syria</t>
  </si>
  <si>
    <t>Vidyasagar University; King Khalid University; Qassim University; Princess Nourah bint Abdulrahman University; Tartous University</t>
  </si>
  <si>
    <t>Mallick, J (corresponding author), King Khalid Univ, Coll Engn, Dept Civil Engn, POB 94, Abha 61411, Saudi Arabia.</t>
  </si>
  <si>
    <t>10.3390/su16156569</t>
  </si>
  <si>
    <t>Halder, B; Bandyopadhyay, J; Inacio, M; Banik, P; Pereira, P</t>
  </si>
  <si>
    <t>Halder, Bijay; Bandyopadhyay, Jatisankar; Inacio, Miguel; Banik, Papiya; Pereira, Paulo</t>
  </si>
  <si>
    <t>Impact analysis of cyclonic effects and landform change in part of Indian Sundarban using remote sensing and Google Earth Engine</t>
  </si>
  <si>
    <t>Coastal environment; Climate change; Delta region; Mangrove losses; Shoreline change analysis</t>
  </si>
  <si>
    <t>MANGROVE FORESTS; INDEX; BANGLADESH; VEGETATION; GIS; TEMPERATURE; PREDICTION; DYNAMICS; REGION; ISLAND</t>
  </si>
  <si>
    <t>The coastal area is a vulnerable environment due to the extreme natural events. Floods, decreased soil fertility, and saltwater intrusions are natural phenomena in coastal areas. An Indian district, South 24 Parganas, the delta region, has more land losses because of shoreline alteration and sea level rise (SLR). Mangrove areas are decreasing due to land losses, and many areas have increased mangrove forests. Remote Sensing-based Landsat 4-5 TM and 8 OLI/TIRS multi-temporal datasets are applied for land dynamic analysis of Sagar Island, Namkhana, Kakdwip, and Pathar Pratima blocks South 24 Parganas district, India. Four decadal multi-temporal datasets are applied for this study: 1991, 2001, 2011, and 2021. In the analysis, Cropland decreased by 77.95 km2, and gradually, the inland fishery area increased by 89.13 km2 due to saltwater intrusion. The eight islands increased their size due to sediment deposition; similarly, some islands lost their land due to SLR and shoreline change. The Ghoramara (Habited Island), Jambu Dweep, L-plot, and G-plot areas were decreased due to shoreline change. Built-up lands expanded 18.86 km2 in the last thirty years. Similarly, vegetation areas decreased by 51.56 km2 because of natural extreme events and anthropogenic activities. Many areas have lost mangrove forests in the study area. However, sediment deposition increased mangrove regeneration in different parts of the study area. The Bedford Island, Half-Fish Island, and Sibkalinagar are evidence of this case. The main difficulties in this area were shoreline shifting, SLR, cyclones, floods, soil fertility reduced, soil salinity, and increased cropland dynamics. The coastal area, needs more attention and planning to protect the natural environment otherwise extreme events impacts on those regions.</t>
  </si>
  <si>
    <t>[Halder, Bijay] Univ Kebangsaan Malaysia, Fac Sci &amp; Technol, Dept Earth Sci &amp; Environm, Bangi 43600, Selangor, Malaysia; [Halder, Bijay; Bandyopadhyay, Jatisankar] Vidyasagar Univ, Dept Remote Sensing &amp; GIS, Midnapore, India; [Inacio, Miguel; Pereira, Paulo] Mykolas Romeris Univ, Environm Management Lab, Vilnius, Lithuania; [Banik, Papiya] Univ Calcutta, Dept Geog, Kolkata 700073, West Bengal, India</t>
  </si>
  <si>
    <t>Universiti Kebangsaan Malaysia; Vidyasagar University; Mykolas Romeris University; University of Calcutta</t>
  </si>
  <si>
    <t>Halder, B (corresponding author), Univ Kebangsaan Malaysia, Fac Sci &amp; Technol, Dept Earth Sci &amp; Environm, Bangi 43600, Selangor, Malaysia.;Halder, B (corresponding author), Vidyasagar Univ, Dept Remote Sensing &amp; GIS, Midnapore, India.;Pereira, P (corresponding author), Mykolas Romeris Univ, Environm Management Lab, Vilnius, Lithuania.</t>
  </si>
  <si>
    <t>10.1007/s10668-024-05520-6</t>
  </si>
  <si>
    <t>Saren, Dama; Das, Susobhan; Paul, Aparup; Tat, Sharad S.; Santra, Manas Kumar; Si, Tapan Kumar; Puschmann, Horst; Manna, Subal Chandra</t>
  </si>
  <si>
    <t>Tris chelated meridional isomers of Co(III) complexes: Synthesis, crystal structure, protein binding, cytotoxicity studies and DFT/TDDFT calculation</t>
  </si>
  <si>
    <t>[Saren, Dama; Das, Susobhan; Paul, Aparup; Manna, Subal Chandra] Vidyasagar Univ, Dept Chem, Midnapore 721102, W Bengal, India; [Tat, Sharad S.; Santra, Manas Kumar] Pune Univ, Natl Ctr Cell Sci, NCCS Complex,Campus Ganeshkhind, Pune 411007, Maharashtra, India; [Si, Tapan Kumar] Bidhan Chandra Coll, Dept Chem, Asansol 713304, W Bengal, India; [Puschmann, Horst] Univ Durham, Dept Chem, South Rd, Durham DH1 3LE, England</t>
  </si>
  <si>
    <t>Vidyasagar University; Department of Biotechnology (DBT) India; National Centre for Cell Science, Pune (NCCS); Savitribai Phule Pune University; Durham University</t>
  </si>
  <si>
    <t>10.1016/j.ica.2023.121423</t>
  </si>
  <si>
    <t>Bhunia, AK; Mahata, B; Mandal, B; Guha, PK; Saha, S</t>
  </si>
  <si>
    <t>Bhunia, Amit Kumar; Mahata, Bidesh; Mandal, Biswajit; Guha, Prasanta Kumar; Saha, Satyajit</t>
  </si>
  <si>
    <t>Emerging 2D nanoscale metal oxide sensor: semiconducting CeO2 nano-sheets for enhanced formaldehyde vapor sensing</t>
  </si>
  <si>
    <t>NANOTECHNOLOGY</t>
  </si>
  <si>
    <t>CeO2 nanosheet; optical properties; defect state emission; Raman shift; formaldehyde sensing</t>
  </si>
  <si>
    <t>PROBING DEFECT SITES; SELECTIVE DISCRIMINATION; RAMAN-SPECTROSCOPY; PARTICLE-SIZE; THIN-FILM; X-RAY; NANOPARTICLES; SCATTERING; NANOMATERIALS; SPECTRA</t>
  </si>
  <si>
    <t>Herein, we fabricated nanoscale 2D CeO2 sheet structure to develop a stable resistive gas sensor for detection of low concentration (ppm) level formaldehyde vapors. The fabricated CeO2 nanosheets (NSs) showed an optical band gap of 3.53 eV and cubic fluorite crystal structure with enriched defect states. The formation of 2D NSs with well crystalline phases is clearly observed from high-resolution transmission electron microscope (HRTEM) images. The NSs have been shown tremendous blue-green emission related to large oxygen defects. A VOC sensing device based on fabricated two-dimensional NSs has been developed for the sensing of different VOCs. The device showed better sensing for formaldehyde compared with other VOCs (2-propanol, methanol, ethanol, and toluene). The response was found to be 4.35, with the response and recovery time of 71 s and 310 s, respectively. The device showed an increment of the recovery time (71 s to 100 s) with the decrement of the formaldehyde ppm (100 ppm to 20 ppm). Theoretical fittings provided the detection limit of formaldehyde approximate to 8.86 +/- 0.45 ppm with sensitivity of 0.56 +/- 0.05 ppm(-1). The sensor device showed good reproducibility with excellent stability over the study period of 135 d, with a deviation of 1.8% for 100 ppm formaldehyde. The average size of the NSs (approximate to 24 nm) calculated from HRTEM observation showed lower value than the calculated Debye length (approximate to 44 nm) of the charge accumulation during VOCs sensing. Different defect states, interstitial and surface states in the CeO2 NSs as observed from the Raman spectrum and emission spectrum are responsible for the formaldehyde sensing. This work offers an insight into 2D semiconductor-based oxide material for highly sensitive and stable formaldehyde sensors.</t>
  </si>
  <si>
    <t>[Bhunia, Amit Kumar] Govt Gen Degree Coll Gopiballavpur II, Dept Phys, Jhargram 721517, India; [Mahata, Bidesh; Guha, Prasanta Kumar] Indian Inst Technol Kharagpur, Sch Nano Sci &amp; Technol, Paschim Medinipur 721302, India; [Mandal, Biswajit] Natl Inst Technol Calicut, Dept Phys, Calicut 673601, India; [Guha, Prasanta Kumar] Indian Inst Technol Kharagpur, Dept Elect &amp; Elect Commun Engn, Paschim Medinipur 721302, India; [Saha, Satyajit] Vidyasagar Univ, Dept Phys, Paschim Medinipur 721102, India</t>
  </si>
  <si>
    <t>Indian Institute of Technology System (IIT System); Indian Institute of Technology (IIT) - Kharagpur; National Institute of Technology (NIT System); National Institute of Technology Calicut; Indian Institute of Technology System (IIT System); Indian Institute of Technology (IIT) - Kharagpur; Vidyasagar University</t>
  </si>
  <si>
    <t>0957-4484</t>
  </si>
  <si>
    <t>1361-6528</t>
  </si>
  <si>
    <t>10.1088/1361-6528/ad6e8b</t>
  </si>
  <si>
    <t>Das, U; Chawla-Sarkar, M; Gangopadhyay, SR; Dey, S; Sharma, RD</t>
  </si>
  <si>
    <t>Das, Ujjal; Chawla-Sarkar, Mamta; Gangopadhyay, Swati Roy; Dey, Sanjit; Sharma, Rakhi Dey</t>
  </si>
  <si>
    <t>Role of Influenza A virus protein NS1 in regulating host nuclear body ND10 complex formation and its involvement in establishment of viral pathogenesis</t>
  </si>
  <si>
    <t>DNA-DAMAGE; PML; SUMOYLATION; P53; REVEALS; BODIES; LOCALIZATION; ACTIVATION; PATHWAYS</t>
  </si>
  <si>
    <t>Influenza viral infection is a seasonal infection which causes widespread acute respiratory issues among humans globally. This virus changes its surface receptor composition to escape the recognition process by the host's immune cells. Therefore, the present study focussed to identify some other important viral proteins which have a significant role in establishment of infection and having apparent conserved structural composition. This could facilitate the permanent vaccine development process or help in designing a drug against IAV (influenza A virus) infection which will eliminate the seasonal flu shot vaccination process. The NS1 (Non-structural protein 1) protein of IAV maintains a conserved structural motif. Earlier studies have shown its significant role in infection establishment. However, the mechanism by which viruses escape the host's ND10 antiviral action remains elusive. The present study clearly showed that IAV infection and NS1 transfection in A549 cells degraded the main component of the ND10 anti-viral complex, PML and therefore, inhibited the formation of Daxx-sp100-p53-PML complex (ND10) at the mid phase of infection/transfection. PML degradation activated the stress axis which increased cellular ROS (reactive oxygen species) levels as well as mitochondrial dysfunction. Additionally, IAV/NS1 increased cellular stress and p53 accumulation at the late phase of infection. These collectively activated apoptotic pathway in the host cells. Along with the inactivation of several interferon proteins, IAV was found to decrease p-IKK epsilon. A549 cells transfected with pcDNA3.1-NS1 showed a similar effect in the interferon axis and IKK epsilon. Moreover, NS1 induced the disintegration of the host's ND10 complex through the changes in the SUMOylation pattern of the PML nuclear body. These findings suggest the possible mechanism of how NS1 helps IAV to establish infection in the host cells. However, it demands further detailed study before targeting NS1 to develop permanent vaccines or novel drugs against IAV in future.</t>
  </si>
  <si>
    <t>[Das, Ujjal; Gangopadhyay, Swati Roy; Sharma, Rakhi Dey] Barrackpore Rastraguru Surendranath Coll, Barakpur, India; [Das, Ujjal] Rutgers State Univ, Dept Anim Sci, Endocrine Res Facil, New Brunswick, NJ USA; [Chawla-Sarkar, Mamta] Natl Inst Cholera &amp; Enter Dis, Div Virol, Kolkata, India; [Dey, Sanjit] Univ Calcutta, Dept Physiol, Kolkata, India; [Sharma, Rakhi Dey] Vidyasagar Univ, Belda Coll, Nat Sci Res Ctr, Belda, Paschim Medinip, India; [Sharma, Rakhi Dey] Belda Coll, Dept Physiol, Belda, Paschim Medinip, India</t>
  </si>
  <si>
    <t>Rutgers University System; Rutgers University New Brunswick; Indian Council of Medical Research (ICMR); ICMR - National Institute of Cholera &amp; Enteric Diseases (NICED); University of Calcutta; Vidyasagar University</t>
  </si>
  <si>
    <t>Sharma, RD (corresponding author), Barrackpore Rastraguru Surendranath Coll, Barakpur, India.;Sharma, RD (corresponding author), Vidyasagar Univ, Belda Coll, Nat Sci Res Ctr, Belda, Paschim Medinip, India.;Sharma, RD (corresponding author), Belda Coll, Dept Physiol, Belda, Paschim Medinip, India.</t>
  </si>
  <si>
    <t>10.1371/journal.pone.0295522</t>
  </si>
  <si>
    <t>Majumdar, D (corresponding author), Tamralipta Mahavidyalaya, Dept Chem, Tamluk 721636, West Bengal, India.;Dalai, S (corresponding author), Vidyasagar Univ, Dept Chem &amp; Chem Technol, Midnapore 721102, West Bengal, India.</t>
  </si>
  <si>
    <t>Najar, IN; Sharma, P; Das, R; Mondal, K; Singh, AK; Tamang, S; Hazra, P; Thakur, N; Bhanwaria, R; Gandhi, SG; Kumar, V</t>
  </si>
  <si>
    <t>Najar, Ishfaq Nabi; Sharma, Prayatna; Das, Rohit; Mondal, Krishnendu; Singh, Ashish Kumar; Tamang, Sonia; Hazra, Palash; Thakur, Nagendra; Bhanwaria, Rajendra; Gandhi, Sumit G.; Kumar, Vinod</t>
  </si>
  <si>
    <t>In search of poly-3-hydroxybutyrate (PHB): A comprehensive review unveiling applications and progress in fostering a sustainable bio-circular economy</t>
  </si>
  <si>
    <t>FOOD AND BIOPRODUCTS PROCESSING</t>
  </si>
  <si>
    <t>Polyhydroxyalkanoate (PHA); Poly-3-Hydroxybutyrate (PHB); Bio-plastics; Bio-circular economy; PHB-depolymerase</t>
  </si>
  <si>
    <t>EXTRACELLULAR POLY(3-HYDROXYBUTYRATE) DEPOLYMERASE; MICROBIAL-DEGRADATION; ENZYMATIC DEGRADATION; SP-NOV.; POLYHYDROXYBUTYRATE DEPOLYMERASE; POLYHYDROXYALKANOATES PHAS; PSEUDOMONAS-LEMOIGNEI; CRYSTAL-STRUCTURE; SCALE PRODUCTION; PLASTIC WASTES</t>
  </si>
  <si>
    <t>The escalating demand for economical and durable materials has propelled plastics into an indispensable facet of daily human life, dominating commercial and industrial sectors. The global plastic production of 1.1 billion tons by 2050 exacerbates concerns. The COVID-19 pandemic has further intensified the issue, reaching an alarming 0.3-0.4 billion tons annually. Urgent action is imperative to curtail the drastic environmental impact. Various strategies, particularly microbial involvement in plastic production and degradation, must be implemented to address this. Poly-3-Hydroxybutyrate (PHB) microbial polyesters present a promising alternative to conventional plastics because of their biodegradable nature, thus offering a sustainable solution to plastic pollution. PHBs are employed in divergent industries, including agriculture, medicine, nanotechnology, food, and tissue engineering. This comprehensive review addresses the gap in the literature by encompassing a wide range of topics related to PHBs, their associated enzymes, metabolic pathways, and applications. It also provides an in-depth analysis, highlighting the significance of diverse microbial communities in both the synthesis and degradation of biopolymers. Strategies for augmenting PHA production and leveraging waste products for circular economy initiatives are also discussed, emphasizing the need for innovative solutions to address the global plastic crisis.Top of Form This review highlights two critical strategies for tackling plastic pollution: introducing alternative materials like bioplastics and leveraging biological recycling with microbial assistance. Adopting bio-based circular economy strategies, implementing comprehensive 6 R waste management practices, strengthening plastic pollution regulations, and raising social awareness can significantly improve eco-friendly plastic waste management, diminish pollution, and enhance socio-economic conditions, thus benefiting economies worldwide.</t>
  </si>
  <si>
    <t>[Najar, Ishfaq Nabi; Kumar, Vinod] CSIR IIIM Jammu, Fermentat &amp; Microbial Biotechnol Div, Jammu, India; [Sharma, Prayatna; Das, Rohit; Tamang, Sonia; Thakur, Nagendra] Sikkim Univ, Sch Life Sci, Dept Microbiol, Gangtok 737102, Sikkim, India; [Mondal, Krishnendu] Vidyasagar Univ, Dept Microbiol, Midnapore, India; [Singh, Ashish Kumar] CIAB, Dept Biotechnol &amp; Synthet Biol, Mohali, India; [Hazra, Palash] Inst Bioresources &amp; Sustainable Dev, Reg Ctr, Gangtok 737102, Sikkim, India; [Bhanwaria, Rajendra] CSIR Indian Inst Integrat Med, Plant Sci &amp; Agrotechnol Div PSA, Canal Rd, Jammu 180001, India; [Gandhi, Sumit G.] CSIR IIIM Jammu, Infect Dis Div, Jammu, India</t>
  </si>
  <si>
    <t>Council of Scientific &amp; Industrial Research (CSIR) - India; CSIR - Indian Institute of Integrative Medicine (IIIM); Sikkim University; Vidyasagar University; Department of Biotechnology (DBT) India; Center of Innovative &amp; Applied Bioprocessing (CIAB); Department of Biotechnology (DBT) India; Institute of Bioresources &amp; Sustainable Development (IBSD); Council of Scientific &amp; Industrial Research (CSIR) - India; CSIR - Indian Institute of Integrative Medicine (IIIM); Council of Scientific &amp; Industrial Research (CSIR) - India; CSIR - Indian Institute of Integrative Medicine (IIIM)</t>
  </si>
  <si>
    <t>Kumar, V (corresponding author), CSIR IIIM Jammu, Fermentat &amp; Microbial Biotechnol Div, Jammu, India.</t>
  </si>
  <si>
    <t>0960-3085</t>
  </si>
  <si>
    <t>1744-3571</t>
  </si>
  <si>
    <t>10.1016/j.fbp.2024.08.011</t>
  </si>
  <si>
    <t>Biotechnology &amp; Applied Microbiology; Engineering, Chemical; Food Science &amp; Technology</t>
  </si>
  <si>
    <t>Biotechnology &amp; Applied Microbiology; Engineering; Food Science &amp; Technology</t>
  </si>
  <si>
    <t>Mondal, A; Giri, BK; Roy, SK; Deveci, M; Pamucar, D</t>
  </si>
  <si>
    <t>Mondal, Arijit; Giri, Binoy Krishna; Roy, Sankar Kumar; Deveci, Muhammet; Pamucar, Dragan</t>
  </si>
  <si>
    <t>Sustainable-resilient-responsive supply chain with demand prediction: An interval type-2 robust programming approach</t>
  </si>
  <si>
    <t>Sustainable-resilient-responsive supply chain; Demand prediction; Interval type-2 fuzzy robust programming; DEcision MAking Trial and Evaluation; Laboratory; Multi-choice reference goal programming; Hydrogen fuel supply chain</t>
  </si>
  <si>
    <t>NETWORK DESIGN; FUZZY; SYSTEMS</t>
  </si>
  <si>
    <t>This study configures a novus multi -objective three -stage supply chain network that aims at optimizing sustainability, resilient and responsive measures, simultaneously. At first, a novel prediction model based on Markov chain, Dempster -Safer evidence theory and Shapely value is developed under trapezoidal interval type -2 fuzzy ambience to predict the demand of future scenarios. The prediction model prevents undesired loss occurred due to illogical demand consideration. To encounter interval type -2 fuzziness as well as risk in decision making, an unprecedented trapezoidal interval type -2 fuzzy robust possibilistic programming approach is introduced. The DEcision MAking Trial and Evaluation Laboratory method is suggested in the framework of trapezoidal interval type -2 fuzzy to prioritize the objective function by scrutinizing the interrelationship among different objective function components. As a result, the subjectiveness in the decision making framework is reduced. The generated configuration is then analysed using a blended approach that merges multi -choice reference goal programming with utility functions and particle swarm optimization. The integrated approach produces high -quality solution in lesser computational time. The insightful explorations are delivered based on a case study of hydrogen fuel supply chain in India. The outcomes show how resilient tactics are quite effective and can significantly enhance social, environmental, and economic aspects. It is determined that the best results for supply chain are obtained when the suggested sustainable, resilience and responsiveness tactics are used jointly. Moreover, the sensitivity analysis results suggest that the objective functions are substantially affected by the responsive level; therefore, managers ought to envisage the trade-off between responsiveness and other objective functions.</t>
  </si>
  <si>
    <t>[Mondal, Arijit; Giri, Binoy Krishna; Roy, Sankar Kumar] Vidyasagar Univ, Dept Appl Math, Midnapore 721102, West Bengal, India; [Deveci, Muhammet] Natl Def Univ, Turkish Naval Acad, Dept Ind Engn, TR-34940 Istanbul, Turkiye; [Deveci, Muhammet] Imperial Coll London, Royal Sch Mines, London SW7 2AZ, England; [Deveci, Muhammet] Lebanese Amer Univ, Dept Elect &amp; Comp Engn, Byblos, Lebanon; [Pamucar, Dragan] Univ Belgrade, Fac Org Sci, Dept Operat Res &amp; Stat, Belgrade, Serbia; [Pamucar, Dragan] Yuan Ze Univ, Coll Engn, Taoyuan City, Taiwan; [Pamucar, Dragan] Lebanese Amer Univ, Dept Comp Sci &amp; Math, Beirut, Lebanon</t>
  </si>
  <si>
    <t>Vidyasagar University; Imperial College London; Lebanese American University; University of Belgrade; Yuan Ze University; Lebanese American University</t>
  </si>
  <si>
    <t>10.1016/j.engappai.2024.108133</t>
  </si>
  <si>
    <t>Mohammad, Lal; Mondal, Ismail; Bandyopadhyay, Jatisankar; Pham, Quoc Bao; Nguyen, Xuan Cuong; Dinh, Cham Dao; Al-Quraishi, Ayad M. Fadhil</t>
  </si>
  <si>
    <t>Assessment of spatio-temporal trends of satellite-based aerosol optical depth using Mann-Kendall test and Sen's slope estimator model</t>
  </si>
  <si>
    <t>GEOMATICS NATURAL HAZARDS &amp; RISK</t>
  </si>
  <si>
    <t>[Mohammad, Lal; Bandyopadhyay, Jatisankar] Vidyasagar Univ, Ctr Environm Studies, Midnapore, W Bengal, India; [Mohammad, Lal; Bandyopadhyay, Jatisankar] Vidyasagar Univ, Dept Remote Sensing &amp; GIS, Midnapore, W Bengal, India; [Mondal, Ismail] Univ Calcutta, Dept Marine Sci, Kolkata, India; [Pham, Quoc Bao] Univ Silesia Katowice, Inst Earth Sci, Fac Nat Sci, Sosnowiec, Poland; [Nguyen, Xuan Cuong] Duy Tan Univ, Inst Res &amp; Dev, Ctr Adv Chem, Da Nang, Vietnam; [Nguyen, Xuan Cuong] Duy Tan Univ, Fac Environm Chem Engn, Da Nang, Vietnam; [Dinh, Cham Dao] Vietnam Acad Sci &amp; Technol, Inst Geog, Hanoi, Vietnam; [Dinh, Cham Dao] Vietnam Acad Sci &amp; Technol, Grad Univ Sci &amp; Technol, Hanoi, Vietnam; [Al-Quraishi, Ayad M. Fadhil] Tishk Int Univ, Petr &amp; Min Engn Dept, Fac Engn, Erbil, Iraq</t>
  </si>
  <si>
    <t>Vidyasagar University; Vidyasagar University; University of Calcutta; University of Silesia in Katowice; Duy Tan University; Duy Tan University; Vietnam Academy of Science &amp; Technology (VAST); Vietnam Academy of Science &amp; Technology (VAST); Tishk International University</t>
  </si>
  <si>
    <t>Nguyen, XC (corresponding author), Duy Tan Univ, Inst Res &amp; Dev, Ctr Adv Chem, Da Nang, Vietnam.;Nguyen, XC (corresponding author), Duy Tan Univ, Fac Environm Chem Engn, Da Nang, Vietnam.</t>
  </si>
  <si>
    <t>1947-5705</t>
  </si>
  <si>
    <t>1947-5713</t>
  </si>
  <si>
    <t>GEOMAT NAT HAZ RISK</t>
  </si>
  <si>
    <t>Geomat. Nat. Hazards Risk</t>
  </si>
  <si>
    <t>10.1080/19475705.2022.2070552</t>
  </si>
  <si>
    <t>Geosciences, Multidisciplinary; Meteorology &amp; Atmospheric Sciences; Remote Sensing; Water Resources</t>
  </si>
  <si>
    <t>Geology; Meteorology &amp; Atmospheric Sciences; Remote Sensing; Water Resources</t>
  </si>
  <si>
    <t>Ala, Ali; Simic, Vladimir; Pamucar, Dragan; Jana, Chiranjibe</t>
  </si>
  <si>
    <t>A Novel Neutrosophic-based Multi-objective Grey Wolf Optimizer for Ensuring the Security and Resilience of Sustainable Energy: A Case Study of Belgium</t>
  </si>
  <si>
    <t>SUSTAINABLE CITIES AND SOCIETY</t>
  </si>
  <si>
    <t>[Ala, Ali] Shanghai Jiao Tong Univ, Dept Ind Engn &amp; Management, 800 Dongchuan Rd, Shanghai 200240, Peoples R China; [Simic, Vladimir] Univ Belgrade, Fac Transport &amp; Traff Engn, Vojvode Stepe 305, Belgrade 11010, Serbia; [Pamucar, Dragan] Univ Belgrade, Fac Org Sci, Dept Operat Res &amp; Stat, Jove Ilica 154, Belgrade 11000, Serbia; [Pamucar, Dragan] Yuan Ze Univ, Coll Engn, Taoyuan, Taiwan; [Jana, Chiranjibe] Vidyasagar Univ, Dept Appl Math Oceanol &amp; Comp Programming, Midnapore 721102, India</t>
  </si>
  <si>
    <t>Shanghai Jiao Tong University; University of Belgrade; University of Belgrade; Yuan Ze University; Vidyasagar University</t>
  </si>
  <si>
    <t>Ala, A (corresponding author), Shanghai Jiao Tong Univ, Dept Ind Engn &amp; Management, 800 Dongchuan Rd, Shanghai 200240, Peoples R China.</t>
  </si>
  <si>
    <t>2210-6707</t>
  </si>
  <si>
    <t>2210-6715</t>
  </si>
  <si>
    <t>SUSTAIN CITIES SOC</t>
  </si>
  <si>
    <t>Sust. Cities Soc.</t>
  </si>
  <si>
    <t>10.1016/j.scs.2023.104709</t>
  </si>
  <si>
    <t>Construction &amp; Building Technology; Green &amp; Sustainable Science &amp; Technology; Energy &amp; Fuels</t>
  </si>
  <si>
    <t>Construction &amp; Building Technology; Science &amp; Technology - Other Topics; Energy &amp; Fuels</t>
  </si>
  <si>
    <t>Shaikh, MA; Bhat, SA; Kapadia, SJ</t>
  </si>
  <si>
    <t>Shaikh, Md Arif; Bhat, Sajad A.; Kapadia, Shasvath J.</t>
  </si>
  <si>
    <t>A study of the inspiral-merger-ringdown consistency test with gravitational- wave signals from compact binaries in eccentric orbits</t>
  </si>
  <si>
    <t>PHYSICAL REVIEW D</t>
  </si>
  <si>
    <t>BLACK-HOLE MERGERS; GENERAL-RELATIVITY; VIRGO; LIGO; PERTURBATIONS; INFERENCE; 1ST</t>
  </si>
  <si>
    <t>The inspiral-merger-ringdown consistency test (IMRCT) is one among a battery of tests of general relativity (GR) employed by the LIGO-Virgo-KAGRA (LVK) Collaboration. It is used to search for deviations from GR in detected gravitational waves (GWs) from compact binary coalescences (CBCs) in a model-agnostic way. The test compares source parameter estimates extracted independently from the inspiral and postinspiral portions of the CBC signals and, therefore, crucially relies on the accurate modeling of the waveform. Current implementations of the IMRCT routinely use quasicircular waveforms, under the assumption that the residual eccentricity of the binary when the emitted GWs enter the frequency band of the LVK detector network will be negligible. In this work, we perform a detailed study to investigate the typical magnitudes of this residual eccentricity that could potentially lead to spurious violations of the IMRCT. To that end, we conduct injection campaigns for a range of eccentricities and recover with both quasicircular and eccentric waveforms. We find that an eccentric GW signal from a GW150914-like system with eccentricity e gw &gt;= 0.04 at an orbit averaged frequency ( f ref ) = 25 Hz breaks the IMRCT if recovered with quasicircular waveforms at &gt;= 68% CL. The violation becomes more severe (&gt;= 90% confidence) for e gw = 0.055 at ( f ref ) = 25 Hz. On the other hand, when eccentric waveforms are used, the IMRCT remains intact for all eccentricities considered. We also briefly investigate the effect of the magnitude and orientation (aligned/antialigned) of the component spins of the binary on the extent of the spurious violations of the IMRCT. Our work, therefore, demonstrates the need for accurate eccentric waveform models in the context of tests of GR.</t>
  </si>
  <si>
    <t>[Shaikh, Md Arif] Vidyasagar Univ, Dept Phys, Vivekananda Satavarshiki Mahavidyalaya, Manikpara 721513, West Bengal, India; [Shaikh, Md Arif] Seoul Natl Univ, Dept Phys &amp; Astron, Seoul 08826, South Korea; [Shaikh, Md Arif] Tata Inst Fundamental Res, Int Ctr Theoret Sci, Bangalore 560089, India; [Bhat, Sajad A.; Kapadia, Shasvath J.] Interuniv Ctr Astron &amp; Astrophys, Post Bag 4 Ganeshkhind, Pune 411007, India; [Bhat, Sajad A.] Chennai Math Inst, Plot H1 SIPCOT IT Pk, Siruseri 603103, India</t>
  </si>
  <si>
    <t>Vidyasagar University; Seoul National University (SNU); Tata Institute of Fundamental Research (TIFR); International Centre for Theoretical Sciences, Bengaluru; Inter-University Centre for Astronomy &amp; Astrophysics; Chennai Mathematical Institute</t>
  </si>
  <si>
    <t>Shaikh, MA (corresponding author), Vidyasagar Univ, Dept Phys, Vivekananda Satavarshiki Mahavidyalaya, Manikpara 721513, West Bengal, India.;Shaikh, MA (corresponding author), Seoul Natl Univ, Dept Phys &amp; Astron, Seoul 08826, South Korea.;Shaikh, MA (corresponding author), Tata Inst Fundamental Res, Int Ctr Theoret Sci, Bangalore 560089, India.</t>
  </si>
  <si>
    <t>AMER PHYSICAL SOC</t>
  </si>
  <si>
    <t>COLLEGE PK</t>
  </si>
  <si>
    <t>ONE PHYSICS ELLIPSE, COLLEGE PK, MD 20740-3844 USA</t>
  </si>
  <si>
    <t>2470-0010</t>
  </si>
  <si>
    <t>2470-0029</t>
  </si>
  <si>
    <t>10.1103/PhysRevD.110.024030</t>
  </si>
  <si>
    <t>Sarkar, P; Gopi, P; Pandya, P; Paria, S; Hossain, M; Siddiqui, MH; Alamri, S; Bhadra, K</t>
  </si>
  <si>
    <t>Sarkar, Paromita; Gopi, Priyanka; Pandya, Prateek; Paria, Samaresh; Hossain, Maidul; Siddiqui, Manzer H.; Alamri, Saud; Bhadra, Kakali</t>
  </si>
  <si>
    <t>Insights on the comparative affinity of ribonucleic acids with plant-based beta carboline alkaloid, harmine: Spectroscopic, calorimetric and computational evaluation</t>
  </si>
  <si>
    <t>Harmine; Beta-carboline alkaloid; Ribonucleic acids RNAs; Molecular docking; Molecular dynamics; Principal component analysis (PCA); Isothermal calorimetry; Spectroscopy</t>
  </si>
  <si>
    <t>DOUBLE-STRANDED-RNA; MOLECULAR-DYNAMICS SIMULATIONS; SELF-STRUCTURE FORMATION; DNA-BINDING; POLYADENYLIC-ACID; METHYLENE-BLUE; ISOQUINOLINE ALKALOIDS; POLYRIBOADENYLIC ACID; APOPTOTIC INDUCTION; CANCER CELLS</t>
  </si>
  <si>
    <t>Small molecules as ligands target multifunctional ribonucleic acids (RNA) for therapeutic engagement. This study explores how the anticancer DNA intercalator harmine interacts various motifs of RNAs, including the single-stranded A-form poly (rA), the clover leaf tRNA(phe), and the double-stranded A-form poly (rC)-poly (rG). Harmine showed the affinity to the polynucleotides in the order, poly (rA) &gt; tRNA(phe) &gt; poly (rC)poly (rG). While no induced circular dichroism change was detected with poly (rC)poly (rG), significant structural alterations of poly (rA) followed by tRNA(phe) and occurrence of concurrent initiation of optical activity in the attached achiral molecule of alkaloid was reported. At 25 degrees C, the affinity further showed exothermic and entropy-driven binding. The interaction also highlighted heat capacity (Delta C-p(o)) and Gibbs energy contribution from the hydrophobic transfer (Delta G(hyd)) of binding with harmine. Molecular docking calculations indicated that harmine exhibits higher affinity for poly (rA) compared to tRNA(phe) and poly (rC)poly (rG). Subsequent molecular dynamics simulations were conducted to investigate the binding mode and stability of harmine with poly(A), tRNA(phe), and poly (rC)poly (rG). The results revealed that harmine adopts a partial intercalative binding with poly (rA) and tRNA(phe), characterized by pronounced stacking forces and stronger binding free energy observed with poly (rA), while a comparatively weaker binding free energy was observed with tRNA(phe). In contrast, the stacking forces with poly (rC)poly (rG) were comparatively less pronounced and adopts a groove binding mode. It was also supported by ferrocyanide quenching analysis. All these findings univocally provide detailed insight into the binding specificity of harmine, to single stranded poly (rA) over other RNA motifs, probably suggesting a self-structure formation in poly (rA) with harmine and its potential as a lead compound for RNA based drug targeting.</t>
  </si>
  <si>
    <t>[Sarkar, Paromita; Bhadra, Kakali] Univ Kalyani, Dept Zool, Nadia 741235, W Bengal, India; [Gopi, Priyanka; Pandya, Prateek] Amity Univ, Amity Inst Forens Sci, Noida, Uttar Pradesh, India; [Paria, Samaresh; Hossain, Maidul] Vidyasagar Univ, Dept Chem, Midnapore 721102, West Bengal, India; [Siddiqui, Manzer H.; Alamri, Saud] King Saud Univ, Coll Sci, Dept Bot &amp; Microbiol, Riyadh, Saudi Arabia</t>
  </si>
  <si>
    <t>Kalyani University; Amity University Noida; Vidyasagar University; King Saud University</t>
  </si>
  <si>
    <t>Bhadra, K (corresponding author), Univ Kalyani, Dept Zool, Nadia 741235, W Bengal, India.</t>
  </si>
  <si>
    <t>JUL 30</t>
  </si>
  <si>
    <t>10.1016/j.heliyon.2024.e34183</t>
  </si>
  <si>
    <t>Gorai, N; Bandyopadhyay, J; Halder, B; Ahmed, MF; Molla, AH; Lei, TMT</t>
  </si>
  <si>
    <t>Gorai, Namita; Bandyopadhyay, Jatisankar; Halder, Bijay; Ahmed, Minhaz Farid; Molla, Altaf Hossain; Lei, Thomas M. T.</t>
  </si>
  <si>
    <t>Spatio-Temporal Variation in Landforms and Surface Urban Heat Island in Riverine Megacity</t>
  </si>
  <si>
    <t>climate change; ecological disturbance; heat island; urban environment; remote sensing and GIS</t>
  </si>
  <si>
    <t>LANDSAT 8 OLI; TEMPERATURE RETRIEVAL; IMPACT; NDVI; CITY; ENVIRONMENT; INDEX; SOIL</t>
  </si>
  <si>
    <t>Rapid urbanization and changing climatic procedures can activate the present surface urban heat island (SUHI) effect. An SUHI was considered by temperature alterations among urban and rural surroundings. The urban zones were frequently warmer than the rural regions because of population pressure, urbanization, vegetation insufficiency, industrialization, and transportation systems. This investigation analyses the Surface-UHI (SUHI) influence in Kolkata Municipal Corporation (KMC), India. Growing land surface temperature (LST) may cause an SUHI and impact ecological conditions in urban regions. The urban thermal field variation index (UTFVI) served as a qualitative and quantitative barrier to the SUHI susceptibility. The maximum likelihood approach was used in conjunction with supervised classification techniques to identify variations in land use and land cover (LULC) over a chosen year. The outcomes designated a reduction of around 1354.86 Ha, 653.31 Ha, 2286.9 Ha, and 434.16 Ha for vegetation, bare land, grassland, and water bodies, correspondingly. Temporarily, from the years 1991-2021, the built-up area increased by 4729.23 Ha. The highest LST increased by around 7.72 degrees C, while the lowest LST increased by around 5.81 degrees C from 1991 to 2021. The vegetation index and LST showed a negative link, according to the correlation analyses; however, the built-up index showed an experimentally measured positive correlation. This inquiry will compel the administration, urban planners, and stakeholders to observe humanistic activities and thus confirm sustainable urban expansion.</t>
  </si>
  <si>
    <t>[Gorai, Namita; Bandyopadhyay, Jatisankar] Vidyasagar Univ, Dept Remote Sensing &amp; GIS, Midnapore 721102, India; [Halder, Bijay] Univ Kebangsaan Malaysia, Fac Sci &amp; Technol, Dept Earth Sci &amp; Environm, Bangi 43600, Selangor, Malaysia; [Halder, Bijay] Al Ayen Univ, Sci Res Ctr, New Era &amp; Dev Civil Engn Res Grp, Nasiriyah 64001, Iraq; [Ahmed, Minhaz Farid] Univ Kebangsaan Malaysia, Inst Environm &amp; Dev LESTARI, Bangi 43600, Selangor, Malaysia; [Molla, Altaf Hossain] Univ Kebangsaan Malaysia, Fac Engn &amp; Built Environm, Dept Mech &amp; Mfg Engn, Bangi 43600, Selangor, Malaysia; [Lei, Thomas M. T.] Univ St Joseph, Inst Sci &amp; Environm, Taipa, Macao, Peoples R China</t>
  </si>
  <si>
    <t>Vidyasagar University; Universiti Kebangsaan Malaysia; Al-Ayen University; Universiti Kebangsaan Malaysia; Universiti Kebangsaan Malaysia; University of Saint Joseph (Macao)</t>
  </si>
  <si>
    <t>Molla, AH (corresponding author), Univ Kebangsaan Malaysia, Fac Engn &amp; Built Environm, Dept Mech &amp; Mfg Engn, Bangi 43600, Selangor, Malaysia.;Lei, TMT (corresponding author), Univ St Joseph, Inst Sci &amp; Environm, Taipa, Macao, Peoples R China.</t>
  </si>
  <si>
    <t>10.3390/su16083383</t>
  </si>
  <si>
    <t>Das, B; Murmu, KC; Dey, SK; Chaudhuri, SM; Almarhoon, ZM; Ansari, MZ; Bag, PP; Dolai, M</t>
  </si>
  <si>
    <t>Das, Bhriguram; Murmu, Krishna Chandra; Dey, Surya Kanti; Chaudhuri, Sujata Maity; Almarhoon, Zainab M.; Ansari, Mohd Zahid; Bag, Partha Pratim; Dolai, Malay</t>
  </si>
  <si>
    <t>Pyrazole appended Schiff base based sensor for Al3+ detection: Spectroscopic investigation, real sample analysis and cell imaging studies</t>
  </si>
  <si>
    <t>INORGANIC CHEMISTRY COMMUNICATIONS</t>
  </si>
  <si>
    <t>Al3+ sensor; Turn on fluorescence; DFT and TD-DFT; Paper strips and real sample analysis; Bio-imaging application</t>
  </si>
  <si>
    <t>PHOTOINDUCED ELECTRON-TRANSFER; FLUORESCENT-PROBE; ALUMINUM; ENERGIES; IONS; CHEMOSENSORS; RECOGNITION; MOLECULES; CHEMISTRY; SCAFFOLD</t>
  </si>
  <si>
    <t>Herein, we are reporting a new pyrazole derived chemosensor named H(2)QPC [(E)-N'-((2-hydroxyquinolin-3-yl)methylene)-3-methyl-1H-pyrazole-5-carbohydrazide] exhibiting selective off-on fluorimetric response towards Al3+ ion in different solvents. The probe exhibited a submicromolar detection level (LOD = 0.37 mu M) for the Al3+. The density functional theory (DFT) and time dependent DFT (TD-DFT) of the probe and corresponding Al3+-complex revealed that a change of structural conformation of probe H(2)QPC upon complexation. The pyrazole unit creates a specific cavity to tether Al3+, and consequently H(2)QPC shows as a promising molecule for Al3+ detection. Further, the probe has been used successfully for qualitative determination of Al3+ using filter paper strips. The in situ Al3+ ion cell imaging in HCT116 cells discloses the cellular penetrability of the sensor, and holds pronounced promise for application in biological and environment sciences.</t>
  </si>
  <si>
    <t>[Das, Bhriguram] Vidyasagar Univ, Dept Chem, Midnapore 721102, West Bengal, India; [Murmu, Krishna Chandra; Dolai, Malay] Prabhat Kumar Coll, Dept Chem, Contai 721401, West Bengal, India; [Dey, Surya Kanti; Chaudhuri, Sujata Maity] Vidyasagar Univ, Dept Human Physiol Community Hlth, Midnapore 721102, West Bengal, India; [Almarhoon, Zainab M.] King Saud Univ, Coll Sci, Dept Chem, Riyadh 11451, Saudi Arabia; [Ansari, Mohd Zahid] Yeungnam Univ, Sch Mat Sci &amp; Engn, Gyongsan 712749, South Korea; [Bag, Partha Pratim] SRM Univ Sikkim, Dept Chem, 5th Mile, Gangtok 737102, Sikkim, India; [Das, Bhriguram] Mahammadpur Satya Smriti Sikshaniketan, Midnapore 721632, West Bengal, India</t>
  </si>
  <si>
    <t>Vidyasagar University; Vidyasagar University; King Saud University; Yeungnam University; SRM University Sikkim</t>
  </si>
  <si>
    <t>Das, B (corresponding author), Vidyasagar Univ, Dept Chem, Midnapore 721102, West Bengal, India.;Dolai, M (corresponding author), Prabhat Kumar Coll, Dept Chem, Contai 721401, West Bengal, India.</t>
  </si>
  <si>
    <t>1387-7003</t>
  </si>
  <si>
    <t>1879-0259</t>
  </si>
  <si>
    <t>INORG CHEM COMMUN</t>
  </si>
  <si>
    <t>Inorg. Chem. Commun.</t>
  </si>
  <si>
    <t>10.1016/j.inoche.2024.113108</t>
  </si>
  <si>
    <t>Hazra, S; Majumdar, D; Frontera, A; Roy, S; Gassoumi, B; Ghalla, H; Dalai, S</t>
  </si>
  <si>
    <t>Hazra, Suman; Majumdar, Dhrubajyoti; Frontera, Antonio; Roy, Sourav; Gassoumi, Bouzid; Ghalla, Houcine; Dalai, Sudipta</t>
  </si>
  <si>
    <t>On the Significant Importance of HgCl Spodium Bonding/σ/π-Hole/Noncovalent Interactions and Nanoelectronic/Conductivity Applications in Mercury Complexes: Insights from DFT Spectrum</t>
  </si>
  <si>
    <t>CRYSTAL GROWTH &amp; DESIGN</t>
  </si>
  <si>
    <t>HIRSHFELD SURFACE-ANALYSIS; CRYSTAL-STRUCTURE; MAGNETIC-PROPERTIES; VANILLIN; SERIES; EXPLORATION; XPS; HG</t>
  </si>
  <si>
    <t>This work synthesized two Hg complexes (1-2) using a LO-rich ligand (LO-rich = LO-VAN/LET-VAN) in CH3OH and CH3OH/DCM media. Complex 1 is discrete [(HgCl2)(3)LO-VAN], while 2 is the coordination polymer (CP) [HgCl2LET-VAN](n). The complexes were characterized using spectroscopy, SCXRD, HRMS, PXRD, SEM-EDX, and XPS study. The X-ray structure revealed that 1 crystallizes in the monoclinic space group P2(1)/c and is built from isolated trinuclear units of [(HgCl2)(3)LO-VAN]. Similarly, 2 crystallizes in the monoclinic space group P2(1)/n, having polynuclear units of [HgCl2LET-VAN](n). The Hg(II) center has favorable stereochemical features and is five-coordinated, creating trigonal (1) and square bipyramidal geometries (2). DFT-D3 at the B3LYP/LanL2DZ level of theory using Gaussian 09 was used to explore the FMO/MEP/NBO and ELF-LOL plot of Hg complexes. Hirshfeld surface and 2D fingerprint plots were used to analyze the HH, HO/OH, and HCl/ClH contacts. The FMO energy gap explains the complex's conductivity and nanoelectronic applications. The transfer of electronic charge on the surface has been explained through NBO. ELF-LOL profile demonstrates exceptional complex stability. The existence of spodium bonding (SpBs)/sigma-/pi-holes and noncovalent interactions was investigated by DFT. The nature and strength of the HgCl SpBs were analyzed by QTAIM and an NCI plot. The findings revealed that SpBs exhibit weak noncovalent interactions characterized by bond critical points (BCPs), bond paths, and reduced density gradient (RDG) iso-surfaces. The MEP surface demonstrated the presence of sigma-/pi-holes at the Hg atoms, facilitating directional SpB formation. Herein, the nature of the interaction energies is influenced by SpBs and the concurrent formation of additional noncovalent interactions such as pi-stacking and CHpi, O contacts. Primarily, the research emphasizes the importance of sigma-/pi-hole interactions in forming mercury complexes through self-assembly.</t>
  </si>
  <si>
    <t>[Hazra, Suman; Majumdar, Dhrubajyoti] Tamralipta Mahavidyalaya, Dept Chem, Tamluk 721636, West Bengal, India; [Frontera, Antonio] Univ les Illes Balears, Dept Quim, Palma De Mallorca 07122, Baleares, Spain; [Roy, Sourav] Indian Inst Sci, Solid State &amp; Struct Chem Unit, Bangalore 560012, India; [Gassoumi, Bouzid] Univ Monastir, Fac Sci Monastir, Lab Adv Mat &amp; Interfaces LIMA, Ave Environm, Monastir 5000, Tunisia; [Ghalla, Houcine] Univ Monastir, Fac Sci, Quantum &amp; Stat Phys Lab, Monastir 5079, Tunisia; [Hazra, Suman; Dalai, Sudipta] Vidyasagar Univ, Dept Chem &amp; Chem Technol, Midnapore 721102, West Bengal, India</t>
  </si>
  <si>
    <t>Universitat de les Illes Balears; Indian Institute of Science (IISC) - Bangalore; Universite de Monastir; Universite de Monastir; Vidyasagar University</t>
  </si>
  <si>
    <t>1528-7483</t>
  </si>
  <si>
    <t>1528-7505</t>
  </si>
  <si>
    <t>10.1021/acs.cgd.4c00893</t>
  </si>
  <si>
    <t>Chemistry, Multidisciplinary; Crystallography; Materials Science, Multidisciplinary</t>
  </si>
  <si>
    <t>Chemistry; Crystallography; Materials Science</t>
  </si>
  <si>
    <t>Thakur, Kishore; Maji, Somnath; Maity, Samir; Pal, Tandra; Maiti, Manoranjan</t>
  </si>
  <si>
    <t>Multiroute fresh produce green routing models with driver fatigue using Type-2 fuzzy logic-based DFWA</t>
  </si>
  <si>
    <t>[Thakur, Kishore; Pal, Tandra] NIT Durgapur, Dept Comp Sci &amp; Engn, Durgapur, India; [Thakur, Kishore] Midnapore Coll, Dept BCA, Midnapore, India; [Maji, Somnath] MAKAUT, Dept Comp Sci &amp; Engn, Kolkata, India; [Maity, Samir] Aalborg Univ, Dept Mat &amp; Prod, Operat Res Grp, DK-9220 Aalborg, Denmark; [Maiti, Manoranjan] Vidyasagar Univ, Dept Appl Math, Oceanol &amp; Comp Programming, Midnapore, W Bengal, India</t>
  </si>
  <si>
    <t>National Institute of Technology (NIT System); National Institute of Technology Durgapur; Midnapore College; Maulana Abul Kalam Azad University of Technology; Aalborg University; Vidyasagar University</t>
  </si>
  <si>
    <t>Thakur, K (corresponding author), NIT Durgapur, Dept Comp Sci &amp; Engn, Durgapur, India.;Thakur, K (corresponding author), Midnapore Coll, Dept BCA, Midnapore, India.;Maity, S (corresponding author), Aalborg Univ, Dept Mat &amp; Prod, Operat Res Grp, DK-9220 Aalborg, Denmark.</t>
  </si>
  <si>
    <t>10.1016/j.eswa.2023.120300</t>
  </si>
  <si>
    <t>Hor, Papan Kumar; Pal, Shilpee; Mondal, Joy; Halder, Suman Kumar; Ghosh, Kuntal; Santra, Sourav; Ray, Mousumi; Goswami, Debabrata; Chakrabarti, Sudipta; Singh, Somnath; Dwivedi, Sanjai K.; Tako, Miklos; Bera, Debabrata; Mondal, Keshab Chandra</t>
  </si>
  <si>
    <t>Antiobesity, Antihyperglycemic, and Antidepressive Potentiality of Rice Fermented Food Through Modulation of Intestinal Microbiota</t>
  </si>
  <si>
    <t>[Hor, Papan Kumar; Mondal, Joy; Halder, Suman Kumar; Ray, Mousumi; Goswami, Debabrata; Mondal, Keshab Chandra] Vidyasagar Univ, Dept Microbiol, Midnapore, India; [Pal, Shilpee; Santra, Sourav; Mondal, Keshab Chandra] Vidyasagar Univ, Bioinformat Infrastructure Facil Ctr, Dept Microbiol, Midnapore, India; [Ghosh, Kuntal; Chakrabarti, Sudipta] Midnapore City Coll, Dept Biol Sci, Midnapore, India; [Singh, Somnath] Def Inst Physiol &amp; Allied Sci, Div Nutr, New Delhi, India; [Dwivedi, Sanjai K.] Def Res &amp; Dev Org, Def Res Lab, Tezpur, India; [Tako, Miklos] Univ Szeged, Fac Sci &amp; Informat, Dept Microbiol, Szeged, Hungary; [Bera, Debabrata] Jadavpur Univ, Dept Food Technol &amp; Biochem Engn, Kolkata, India</t>
  </si>
  <si>
    <t>Vidyasagar University; Vidyasagar University; Defence Research &amp; Development Organisation (DRDO); Defence Institute of Physiology &amp; Allied Sciences (DIPAS); Defence Research &amp; Development Organisation (DRDO); Defence Research Laboratory (DRL); Szeged University; Jadavpur University</t>
  </si>
  <si>
    <t>Mondal, KC (corresponding author), Vidyasagar Univ, Dept Microbiol, Midnapore, India.;Mondal, KC (corresponding author), Vidyasagar Univ, Bioinformat Infrastructure Facil Ctr, Dept Microbiol, Midnapore, India.</t>
  </si>
  <si>
    <t>10.3389/fmicb.2022.794503</t>
  </si>
  <si>
    <t>Green Accepted, Green Published, gold</t>
  </si>
  <si>
    <t>Mabhai, Subhabrata; Dolai, Malay; Dey, Surya Kanta; Choudhury, Sujata Maiti; Das, Bhriguram; Dey, Satyajit; Jana, Atanu; Banerjee, Deb Ranjan</t>
  </si>
  <si>
    <t>A naphthalene-based azo armed molecular framework for selective sensing of Al3+</t>
  </si>
  <si>
    <t>[Mabhai, Subhabrata] Mahishadal Raj Coll, Dept Chem, Mahishadal 721628, W Bengal, India; [Mabhai, Subhabrata; Das, Bhriguram; Dey, Satyajit] Tamralipta Mahavidyalaya, Dept Chem, East Midnapore 721636, W Bengal, India; [Mabhai, Subhabrata; Banerjee, Deb Ranjan] Natl Inst Technol, Dept Chem, Durgapur 713209, W Bengal, India; [Dolai, Malay] Prabhat Kumar Coll, Dept Chem, Purba Medinipur 721401, India; [Dey, Surya Kanta; Choudhury, Sujata Maiti] Vidyasagar Univ, Dept Human Physiol Commun Hlth, Medinipur 721102, W Bengal, India; [Das, Bhriguram] Vidyasagar Univ, Dept Chem, Medinipur 721102, W Bengal, India; [Jana, Atanu] Dongguk Univ, Div Phys &amp; Semicond Sci, Seoul, South Korea</t>
  </si>
  <si>
    <t>National Institute of Technology (NIT System); National Institute of Technology Durgapur; Vidyasagar University; Vidyasagar University; Dongguk University</t>
  </si>
  <si>
    <t>Dey, S (corresponding author), Tamralipta Mahavidyalaya, Dept Chem, East Midnapore 721636, W Bengal, India.;Banerjee, DR (corresponding author), Natl Inst Technol, Dept Chem, Durgapur 713209, W Bengal, India.;Jana, A (corresponding author), Dongguk Univ, Div Phys &amp; Semicond Sci, Seoul, South Korea.</t>
  </si>
  <si>
    <t>10.1039/d1nj05869j</t>
  </si>
  <si>
    <t>Ghosh, R; Das, M; Mondal, S; Banerjee, A; Roy, L; Das, AK; Pal, D; Bhattacharya, SS; Bhattacharyya, M; Pal, SK</t>
  </si>
  <si>
    <t>Ghosh, Ria; Das, Monojit; Mondal, Susmita; Banerjee, Amrita; Roy, Lopamudra; Das, Anjan Kumar; Pal, Debasish; Bhattacharya, Siddhartha Sankar; Bhattacharyya, Maitree; Pal, Samir Kumar</t>
  </si>
  <si>
    <t>Targeted Redox Balancing through Pulmonary Nanomedicine Delivery Reverses Oxidative Stress Induced Lung Inflammation</t>
  </si>
  <si>
    <t>Aerosols; Lung inflammation; mitochondrial reconditioning; nanomedicine delivery; redox imbalance</t>
  </si>
  <si>
    <t>BRONCHOALVEOLAR LAVAGE FLUID; HEXAVALENT CHROMIUM; MN3O4 NANOPARTICLES; GENERATION; CYSTEINE; PLASMA; CANCER</t>
  </si>
  <si>
    <t>Non-invasive delivery of drugs is important for the reversal of respiratory diseases essentially by-passing metabolic pathways and targeting large surface area of drug absorption. Here, we study the inhalation of a redox nano medicine namely citrate functionalized Mn3O4 (C-Mn3O4) duly encapsulated in droplet evaporated aerosols for the balancing of oxidative stress generated by the exposure of Chromium (VI) ion, a potential lung carcinogenic agent. Our optical spectroscopic in-vitro experiments demonstrates the efficacy of redox balancing of the encapsulated nanoparticles (NP) for the maintenance of a homeostatic condition. The formation of Cr-NP complex as an excretion of the heavy metal is also demonstrated through optical spectroscopic and high resolution transmission optical microscopy (HRTEM). Our studies confirm the oxidative stress mitigation activity of the Cr-NP complex. A detailed immunological assay followed by histopathological studies and assessment of mitochondrial parameters in pre-clinical mice model with chromium (Cr) induced lung inflammation establishes the mechanism of drug action to be redox-buffering. Thus, localised delivery of C-Mn3O4 NPs in the respiratory tract via aerosols can act as an effective nanotherapeutic agent against oxidative stress induced lung inflammation. Reversal of Pulmonary Inflammation by Targeted Nano Therapy in Lungs. Droplet evaporated C-Mn3O4 NPs (Nanomedicine) reduce the Chromium (VI) ion induced oxidative stress in the cellular milieu by forming a stable complex with the ion and maintaining a redox eustress condition. Our studies confirmed the integrity of in vitro studies in mice model with Cr inhalation, where Cr induced lung inflammation was reversed upon administration of the Nanomedicine. image</t>
  </si>
  <si>
    <t>[Ghosh, Ria; Bhattacharyya, Maitree] Univ Calcutta, Dept Biochem, 35 Ballygunge Circular Rd, Kolkata 700019, India; [Ghosh, Ria; Mondal, Susmita; Pal, Samir Kumar] S N Bose Natl Ctr Basic Sci, Dept Chem &amp; Biol Sci, Block JD,Sect 3, Kolkata 700106, India; [Das, Monojit] Vidyasagar Univ, Dept Zool, Midnapore 721102, India; [Das, Monojit; Pal, Debasish; Bhattacharya, Siddhartha Sankar] Univ Calcutta, Uluberia Coll, Dept Zool, Howrah 711315, India; [Banerjee, Amrita] Jadavpur Univ, Dept Phys, 188 Raja SC Mallick Rd, Kolkata 700032, India; [Roy, Lopamudra] Univ Calcutta, Dept Appl Opt &amp; Photon, 92 Acharya Prafulla Chandra Rd, Kolkata 700009, India; [Das, Anjan Kumar] Coochbehar Govt Med Coll &amp; Hosp, Dept Pathol, Cooch Behar 736101, India</t>
  </si>
  <si>
    <t>University of Calcutta; Department of Science &amp; Technology (India); SN Bose National Centre for Basic Science (SNBNCBS); Vidyasagar University; University of Calcutta; Jadavpur University; University of Calcutta</t>
  </si>
  <si>
    <t>Pal, SK (corresponding author), S N Bose Natl Ctr Basic Sci, Dept Chem &amp; Biol Sci, Block JD,Sect 3, Kolkata 700106, India.</t>
  </si>
  <si>
    <t>10.1002/cmdc.202400037</t>
  </si>
  <si>
    <t>Doumas, SA; Tripathi, S; Kashikar, A; Khuttan, A; Kumar, A; Singh, H; Canakis, JP; Ashish, K; Dey, D; Oppenheim, I; Dey, AK</t>
  </si>
  <si>
    <t>Doumas, Stavros A.; Tripathi, Shalini; Kashikar, Aditi; Khuttan, Akhilesh; Kumar, Ashwin; Singh, Harjit; Canakis, Justin P.; Ashish, Kumar; Dey, Debashish; Oppenheim, Ian; Dey, Amit Kumar</t>
  </si>
  <si>
    <t>Nonalcoholic Fatty Liver Disease (NAFLD) and Cardiovascular Risk: Is Imaging Helpful?</t>
  </si>
  <si>
    <t>CURRENT PROBLEMS IN CARDIOLOGY</t>
  </si>
  <si>
    <t>CORONARY-ARTERY CALCIFICATION; SUBCLINICAL ATHEROSCLEROSIS; ASSOCIATION; INFLAMMATION; PREDICTOR</t>
  </si>
  <si>
    <t>Nonalcoholic Fatty Liver Disease (NAFLD) is proving to be a globally prevalent condition. More-over, NAFLD may be an independent risk factor asso-ciated with higher cardiovascular (CVD) morbidity and mortality. Further studies are needed to assess whether NAFLD needs to be included in the athero-sclerotic risk score algorithms or whether patients with NAFLD need to be screened early on to assess their CVD risk especially since imaging such as posi-tron emission tomography can be used to assess both NAFLD and CV disease at the same time. Therefore employing cardiovascular imaging modalities to inves-tigate the incidence, extent, and nature of atheroscle-rotic lesions in NAFLD may be beneficial. Additionally, whether treating NAFLD halts the pro-gression of CVD on imaging remains to be seen.</t>
  </si>
  <si>
    <t>[Doumas, Stavros A.; Kumar, Ashwin; Singh, Harjit; Oppenheim, Ian; Dey, Amit Kumar] Georgetown Univ, Med Ctr, Washington, DC USA; [Tripathi, Shalini; Khuttan, Akhilesh; Ashish, Kumar] Carolina East Med Ctr, New Bern, NC USA; [Kashikar, Aditi] Univ Texas Hlth Sci Ctr, Houston, TX USA; [Canakis, Justin P.] George Washington Univ, Washington, DC USA; [Dey, Debashish] Vidyasagar Univ, Midnapore, India; [Dey, Debashish; Dey, Amit Kumar] NHLBI, NIH, Bethesda, MD USA; [Dey, Amit Kumar] NHLBI, Cardiovasc &amp; Pulm Branch, NIH, 10 Ctr Dr, CRC, Room 5-5140, Bethesda, MD 20892 USA</t>
  </si>
  <si>
    <t>Georgetown University; University of Texas System; University of Texas Health Science Center Houston; George Washington University; Vidyasagar University; National Institutes of Health (NIH) - USA; NIH National Heart Lung &amp; Blood Institute (NHLBI); National Institutes of Health (NIH) - USA; NIH National Heart Lung &amp; Blood Institute (NHLBI)</t>
  </si>
  <si>
    <t>Dey, AK (corresponding author), NHLBI, Cardiovasc &amp; Pulm Branch, NIH, 10 Ctr Dr, CRC, Room 5-5140, Bethesda, MD 20892 USA.</t>
  </si>
  <si>
    <t>MOSBY-ELSEVIER</t>
  </si>
  <si>
    <t>360 PARK AVENUE SOUTH, NEW YORK, NY 10010-1710 USA</t>
  </si>
  <si>
    <t>0146-2806</t>
  </si>
  <si>
    <t>1535-6280</t>
  </si>
  <si>
    <t>10.1016/j.cpcardiol.2023.102065</t>
  </si>
  <si>
    <t>Cardiac &amp; Cardiovascular Systems</t>
  </si>
  <si>
    <t>Cardiovascular System &amp; Cardiology</t>
  </si>
  <si>
    <t>Hashim, Bassim Mohammed; Al-Naseri, Saadi K.; Hamadi, Alaa M.; Mahmood, Tahani Anwar; Halder, Bijay; Shahid, Shamsuddin; Yaseen, Zaher Mundher</t>
  </si>
  <si>
    <t>Seasonal correlation of meteorological parameters and PM2.5 with the COVID-19 confirmed cases and deaths in Baghdad, Iraq</t>
  </si>
  <si>
    <t>INTERNATIONAL JOURNAL OF DISASTER RISK REDUCTION</t>
  </si>
  <si>
    <t>[Hashim, Bassim Mohammed; Al-Naseri, Saadi K.; Hamadi, Alaa M.; Mahmood, Tahani Anwar] Minist Sci &amp; Technol, Environm Water &amp; Renewable Energy Directorate, Baghdad, Iraq; [Halder, Bijay] Vidyasagar Univ, Dept Remote Sensing &amp; GIS, Midnapore 721102, India; [Halder, Bijay] Al Ayen Univ, Sci Res Ctr, New Era &amp; Dev Civil Engn Res Grp, Nasiriyah 64001, Iraq; [Shahid, Shamsuddin] Univ Teknol Malaysia, Dept Water &amp; Environm Engn, Johor Baharu 81310, Johor, Malaysia; [Yaseen, Zaher Mundher] King Fahd Univ Petr &amp; Minerals, Civil &amp; Environm Engn Dept, Dhahran 31261, Saudi Arabia; [Yaseen, Zaher Mundher] King Fahd Univ Petr &amp; Minerals, Interdisciplinary Res Ctr Membranes &amp; Water Secur, Dhahran 31261, Saudi Arabia</t>
  </si>
  <si>
    <t>Iraq Ministry of Science &amp; Technology (MOST); Vidyasagar University; Al-Ayen University; Universiti Teknologi Malaysia; King Fahd University of Petroleum &amp; Minerals; King Fahd University of Petroleum &amp; Minerals</t>
  </si>
  <si>
    <t>Halder, B (corresponding author), Vidyasagar Univ, Dept Remote Sensing &amp; GIS, Midnapore 721102, India.;Yaseen, ZM (corresponding author), King Fahd Univ Petr &amp; Minerals, Civil &amp; Environm Engn Dept, Dhahran 31261, Saudi Arabia.</t>
  </si>
  <si>
    <t>2212-4209</t>
  </si>
  <si>
    <t>10.1016/j.ijdrr.2023.103799</t>
  </si>
  <si>
    <t>Fareed, Muhammad Mazhar; Dutta, Kunal; Dandekar, Thomas; Tarabonda, Herman; Skorb, Ekaterina, V; Shityakov, Sergey</t>
  </si>
  <si>
    <t>In silico investigation of nonsynonymous single nucleotide polymorphisms in BCL2 apoptosis regulator gene to design novel protein-based drugs against cancer</t>
  </si>
  <si>
    <t>JOURNAL OF CELLULAR BIOCHEMISTRY</t>
  </si>
  <si>
    <t>[Fareed, Muhammad Mazhar] Univ Verona, Sch Sci &amp; Engn, Dept Comp Sci, Verona, Italy; [Dutta, Kunal] Vidyasagar Univ, Dept Human Physiol, Midnapore, W Bengal, India; [Dandekar, Thomas] Univ Wurzburg, Bioctr, Dept Bioinformat, Wurzburg, Germany; [Tarabonda, Herman; Skorb, Ekaterina, V; Shityakov, Sergey] ITMO Univ, Infochem Sci Ctr, Lab Chemoinformat, St Petersburg, Russia</t>
  </si>
  <si>
    <t>University of Verona; Vidyasagar University; University of Wurzburg; ITMO University</t>
  </si>
  <si>
    <t>Fareed, MM (corresponding author), Univ Verona, Sch Sci &amp; Engn, Dept Comp Sci, Verona, Italy.;Shityakov, S (corresponding author), ITMO Univ, Infochem Sci Ctr, Lab Chemoinformat, St Petersburg, Russia.</t>
  </si>
  <si>
    <t>0730-2312</t>
  </si>
  <si>
    <t>1097-4644</t>
  </si>
  <si>
    <t>10.1002/jcb.30330</t>
  </si>
  <si>
    <t>Biochemistry &amp; Molecular Biology; Cell Biology</t>
  </si>
  <si>
    <t>Mishra, Umakanta; Mashud, Abu Hashan Md; Roy, Sankar Kumar; Uddin, Md Sharif</t>
  </si>
  <si>
    <t>THE EFFECT OF REBATE VALUE AND SELLING PRICE-DEPENDENT DEMAND FOR A FOUR-LEVEL PRODUCTION MANUFACTURING SYSTEM</t>
  </si>
  <si>
    <t>[Mishra, Umakanta] Vellore Inst Technol, Dept Math, Sch Adv Sci, Vellore 632014, India; [Mashud, Abu Hashan Md] Hajee Mohammad Danesh Sci &amp; Technol Univ, Dept Math, Dinajpur 5200, Bangladesh; [Mashud, Abu Hashan Md] Univ New South Wales UNSW, Sch Engn &amp; IT, Canberra, Australia; [Roy, Sankar Kumar] Vidyasagar Univ, Dept Appl Math Oceanol &amp; Comp Programming, Midnapore 721102, WB, India; [Uddin, Md Sharif] Prince Sattam Bin Abdulaziz Univ, Dept Ind Engn, Alkharj, Saudi Arabia; [Uddin, Md Sharif] Jahangirnagar Univ, Dept Math, Dhaka 1342, Bangladesh</t>
  </si>
  <si>
    <t>Vellore Institute of Technology (VIT); VIT Vellore; University of New South Wales Sydney; Vidyasagar University; Prince Sattam Bin Abdulaziz University; Jahangirnagar University</t>
  </si>
  <si>
    <t>Mashud, AHM (corresponding author), Hajee Mohammad Danesh Sci &amp; Technol Univ, Dept Math, Dinajpur 5200, Bangladesh.;Mashud, AHM (corresponding author), Univ New South Wales UNSW, Sch Engn &amp; IT, Canberra, Australia.</t>
  </si>
  <si>
    <t>10.3934/jimo.2021233</t>
  </si>
  <si>
    <t>Das, Bhriguram; Pakrashy, Sourav; Das, Gopal Chandra; Das, Upasana; Alasmary, Fatmah Ali; Wabaidur, Saikh Mohammad; Islam, Md Ataul; Dolai, Malay</t>
  </si>
  <si>
    <t>Fashionable Co-operative Sensing of Bivalent Zn2+ and Cd2+ in Attendance of OAc- by Use of Simple Sensor: Exploration of Molecular Logic Gate and Docking Studies</t>
  </si>
  <si>
    <t>[Das, Bhriguram] Vidyasagar Univ, Dept Chem, Paschim Medinipur 721102, WB, India; [Pakrashy, Sourav; Das, Gopal Chandra; Das, Upasana; Dolai, Malay] Prabhat Kumar Coll, Dept Chem, Purba Medinipur 721404, WB, India; [Alasmary, Fatmah Ali; Wabaidur, Saikh Mohammad] King Saud Univ, Coll Sci, Dept Chem, Riyadh 11451, Saudi Arabia; [Islam, Md Ataul] Univ Manchester, Sch Hlth Sci, Div Pharm &amp; Optometry, Manchester, Lancs, England; [Das, Bhriguram] Mahammadpur Satya Smriti Sikshaniketan, Purbamedinipur 721632, WB, India</t>
  </si>
  <si>
    <t>Vidyasagar University; King Saud University; University of Manchester</t>
  </si>
  <si>
    <t>Dolai, M (corresponding author), Prabhat Kumar Coll, Dept Chem, Purba Medinipur 721404, WB, India.</t>
  </si>
  <si>
    <t>10.1007/s10895-022-02980-9</t>
  </si>
  <si>
    <t>Patra, Apu; Carrella, Luca M.; Saren, Dama; Mahish, Manas Kumar; Zangrando, Ennio; Puschmann, Horst; Rentschler, Eva; Manna, Subal Chandra</t>
  </si>
  <si>
    <t>Carboxylato- and squarato-bridged dinuclear/tetranuclear Cu(II) complexes: Synthesis, magnetic property, and protein binding studies</t>
  </si>
  <si>
    <t>APPLIED ORGANOMETALLIC CHEMISTRY</t>
  </si>
  <si>
    <t>[Patra, Apu; Saren, Dama; Mahish, Manas Kumar; Manna, Subal Chandra] Vidyasagar Univ, Dept Chem, Midnapore 721102, W Bengal, India; [Carrella, Luca M.; Rentschler, Eva] Johannes Gutenberg Univ Mainz, Dept Chem, D-55128 Mainz, Germany; [Zangrando, Ennio] Univ Trieste, Dept Chem &amp; Pharmaceut Sci, Trieste, Italy; [Puschmann, Horst] Univ Durham, Dept Chem, Durham, England</t>
  </si>
  <si>
    <t>Vidyasagar University; Johannes Gutenberg University of Mainz; University of Trieste; Durham University</t>
  </si>
  <si>
    <t>0268-2605</t>
  </si>
  <si>
    <t>1099-0739</t>
  </si>
  <si>
    <t>10.1002/aoc.6880</t>
  </si>
  <si>
    <t>Chemistry, Applied; Chemistry, Inorganic &amp; Nuclear</t>
  </si>
  <si>
    <t>Giri, D; Dey, SK; Manna, S; Das Chaudhuri, A; Mahata, R; Pradhan, A; Roy, T; Jana, K; Das, S; Roy, S; Choudhury, SM</t>
  </si>
  <si>
    <t>Giri, Dibyendu; Dey, Surya Kanta; Manna, Sounik; Das Chaudhuri, Angsuman; Mahata, Rumi; Pradhan, Ananya; Roy, Tamanna; Jana, Kuladip; Das, Subhasis; Roy, Sumita; Maiti Choudhury, Sujata</t>
  </si>
  <si>
    <t>Nanoconjugate Carrying pH-Responsive Transferrin Receptor-Targeted Hesperetin Triggers Triple-Negative Breast Cancer Cell Death through Oxidative Attack and Assemblage of Pro-Apoptotic Proteins</t>
  </si>
  <si>
    <t>ACS APPLIED BIO MATERIALS</t>
  </si>
  <si>
    <t>Triple-negative breastcancer; Hesperetin; Transferrin; Oxidativeassault; Apoptosis; Tumor cell regression</t>
  </si>
  <si>
    <t>IN-VITRO; CARCINOMA-CELLS; NANOPARTICLES; STRESS; ACID; PROLIFERATION; CYTOTOXICITY; ANTIOXIDANT; ACTIVATION; BLOOD</t>
  </si>
  <si>
    <t>Triple-negative breast cancer (TNBC) is recognized as a major aggressive subtype of breast cancer due to its expeditious worsening growth, extensive metastatic capability, and recalcitrance to standard current treatments. Hesperetin (HSP), a natural bioflavonoid from citrus fruits, demonstrates pronounced anticancer efficacy, but its hydrophobicity limits its clinical development. The present study reports the fabrication of a biocompatible and pH-responsive transferrin (TF) receptor-targeted HSP-loaded poly(lactic-co-glycolic acid) (PLGA) nanobioconjugate (PLGA-HSP-TF NPs) and the exploration of its in vitro and in vivo antineoplastic potential. PLGA nanoparticles (NPs), PLGA-HSP NPs, and PLGA-HSP-TF NPs were synthesized and characterized by DLS, FTIR, FE-SEM, and 1H NMR spectroscopy. The stability and in vitro release profile of nanoparticles were inspected, and anticancer efficacy was scrutinized in terms of in vitro cytotoxicity, oxidative stress and apoptosis biomarkers, and cell cycle arrest. In vivo tumor regression and host survival studies were executed in Ehrlich ascites carcinoma (EAC) cell-bearing Swiss albino mice. The drug uptake of highly stable PLGA-HSP-TF NPs was accomplished effectively in MDA-MB-231 cells and showed the pH-dependent intracellular release of HSP, which generated excessive intracellular reactive oxygen species (ROS) that led to oxidative assault to the TNBC cells. This elevated ROS dropped the mitochondrial membrane potential and triggered apoptosis-mediated cell death by arresting the cell cycle at the G0/G1 phase. Furthermore, PLGA-HSP-TF NPs unveiled significant in vivo Ehrlich ascites carcinoma regression and host survival compared to free HSP with minimum toxicity at a minimum dose of 20 mg/kg body weight. The study divulges that PLGA-HSP-TF NPs may be an astounding anticancer nanocandidate for aggressive triple-negative breast cancer therapy.</t>
  </si>
  <si>
    <t>[Giri, Dibyendu; Dey, Surya Kanta; Manna, Sounik; Das Chaudhuri, Angsuman; Mahata, Rumi; Pradhan, Ananya; Roy, Tamanna; Maiti Choudhury, Sujata] Vidyasagar Univ, Dept Human Physiol, Biochem Mol Endocrinol &amp; Reprod Physiol Lab, Midnapore 721102, W Bengal, India; [Giri, Dibyendu] Ghatal Rabindra Satabarsiki Mahavidyalaya, Dept Physiol, Ghatal 721212, W Bengal, India; [Jana, Kuladip] Bose Inst, Div Mol Med, Kolkata 700054, W Bengal, India; [Das, Subhasis] Univ Illinois, Dept Surg, Coll Med, Chicago, IL 60612 USA; [Roy, Sumita] Vidyasagar Univ, Dept Chem &amp; Chem Technol, Midnapore 721102, W Bengal, India</t>
  </si>
  <si>
    <t>Vidyasagar University; Department of Science &amp; Technology (India); Bose Institute; University of Illinois System; University of Illinois Chicago; University of Illinois Chicago Hospital; Vidyasagar University</t>
  </si>
  <si>
    <t>2576-6422</t>
  </si>
  <si>
    <t>10.1021/acsabm.4c01131</t>
  </si>
  <si>
    <t>Nanoscience &amp; Nanotechnology; Materials Science, Biomaterials</t>
  </si>
  <si>
    <t>Bera, Dipankar; Das Chatterjee, Nilanjana; Mumtaz, Faisal; Dinda, Santanu; Ghosh, Subrata; Zhao, Na; Bera, Sudip; Tariq, Aqil</t>
  </si>
  <si>
    <t>Integrated Influencing Mechanism of Potential Drivers on Seasonal Variability of LST in Kolkata Municipal Corporation, India</t>
  </si>
  <si>
    <t>LAND</t>
  </si>
  <si>
    <t>[Bera, Dipankar; Das Chatterjee, Nilanjana; Dinda, Santanu; Ghosh, Subrata; Bera, Sudip] Vidyasagar Univ, Dept Geog, Midnapore 721102, India; [Mumtaz, Faisal] Chinese Acad Sci, Aerosp Informat Res Inst, State Key Lab Remote Sensing Sci, Beijing 100101, Peoples R China; [Zhao, Na] Chinese Acad Sci, Inst Geog Sci &amp; Nat Resources Res, State Key Lab Resources &amp; Environm Informat Syst, Beijing 100101, Peoples R China; [Tariq, Aqil] Wuhan Univ, State Key Lab Informat Engn Surveying Mapping &amp; R, Wuhan 430072, Peoples R China; [Tariq, Aqil] Mississippi State Univ, Dept Wildlife Fisheries &amp; Aquaculture, 775 Stone Blvd, Starkville, MS 39762 USA</t>
  </si>
  <si>
    <t>Vidyasagar University; Chinese Academy of Sciences; Aerospace Information Research Institute, CAS; Chinese Academy of Sciences; Institute of Geographic Sciences &amp; Natural Resources Research, CAS; Wuhan University; Mississippi State University</t>
  </si>
  <si>
    <t>Mumtaz, F (corresponding author), Chinese Acad Sci, Aerosp Informat Res Inst, State Key Lab Remote Sensing Sci, Beijing 100101, Peoples R China.</t>
  </si>
  <si>
    <t>2073-445X</t>
  </si>
  <si>
    <t>10.3390/land11091461</t>
  </si>
  <si>
    <t>Bisui, Soumen; Pradhan, Biswajeet; Roy, Sambhunath; Sengupta, Debashish; Bhunia, Gouri Sankar; Shit, Pravat Kumar</t>
  </si>
  <si>
    <t>Estimating Forest-Based Livelihood Strategies Focused on Accessibility of Market Demand and Forest Proximity</t>
  </si>
  <si>
    <t>SMALL-SCALE FORESTRY</t>
  </si>
  <si>
    <t>[Bisui, Soumen; Shit, Pravat Kumar] Vidyasagar Univ, Raja NL Khan Womens Coll Autonomous, Res Ctr Nat &amp; Appl Sci, Midnapore 721102, W Bengal, India; [Pradhan, Biswajeet] Univ Technol Sydney, Fac Engn &amp; IT, Ctr Adv Modelling &amp; Geospatial Informat Syst CAMGI, Sch Informat Syst &amp; Modelling, Sydney, Australia; [Roy, Sambhunath; Shit, Pravat Kumar] Raja NL Khan Womens Coll Autonomous, PG Dept Geog, Midnapore 721102, W Bengal, India; [Sengupta, Debashish] Indian Inst Technol IIT, Dept Geol &amp; Geophys, Kharagpur 721302, India; [Bhunia, Gouri Sankar] Seacom Skill Univ, Dept Geog, Bolpur, India</t>
  </si>
  <si>
    <t>Vidyasagar University; University of Technology Sydney; Indian Institute of Technology System (IIT System); Indian Institute of Technology (IIT) - Kharagpur; Indian Institute of Technology (IIT) - Madras</t>
  </si>
  <si>
    <t>Shit, PK (corresponding author), Vidyasagar Univ, Raja NL Khan Womens Coll Autonomous, Res Ctr Nat &amp; Appl Sci, Midnapore 721102, W Bengal, India.;Shit, PK (corresponding author), Raja NL Khan Womens Coll Autonomous, PG Dept Geog, Midnapore 721102, W Bengal, India.</t>
  </si>
  <si>
    <t>1873-7617</t>
  </si>
  <si>
    <t>1873-7854</t>
  </si>
  <si>
    <t>10.1007/s11842-023-09542-2</t>
  </si>
  <si>
    <t>Forestry</t>
  </si>
  <si>
    <t>Mahish, Manas Kumar; Carrella, Luca M.; Patra, Apu; Saren, Dama; Zangrando, Ennio; Vojtisek, Pavel; Rentschler, Eva; Manna, Subal Chandra</t>
  </si>
  <si>
    <t>Tryptophan moiety ligand based tri/tetranuclear Ni(II) complexes: syntheses, structure and magnetic properties</t>
  </si>
  <si>
    <t>[Mahish, Manas Kumar; Patra, Apu; Saren, Dama; Manna, Subal Chandra] Vidyasagar Univ, Dept Chem, Midnapore 721102, W Bengal, India; [Carrella, Luca M.; Rentschler, Eva] Johannes Gutenberg Univ Mainz, Dept Chem, D-55128 Mainz, Germany; [Zangrando, Ennio] Univ Trieste, Dept Chem &amp; Pharmaceut Sci, I-34127 Trieste, Italy; [Vojtisek, Pavel] Charles Univ Prague, Dept Inorgan Chem, Hlavova 2030-8, Prague 12843 2, Czech Republic</t>
  </si>
  <si>
    <t>Vidyasagar University; Johannes Gutenberg University of Mainz; University of Trieste; Charles University Prague</t>
  </si>
  <si>
    <t>10.1039/d2nj02467e</t>
  </si>
  <si>
    <t>Hashim, Bassim Mohammed; Al Maliki, Ali; Abd Alraheem, Esam; Al-Janabi, Ahmed Mohammed Sami; Halder, Bijay; Yaseen, Zaher Mundher</t>
  </si>
  <si>
    <t>Temperature and precipitation trend analysis of the Iraq Region under SRES scenarios during the twenty-first century</t>
  </si>
  <si>
    <t>[Hashim, Bassim Mohammed; Al Maliki, Ali; Abd Alraheem, Esam] Minist Sci &amp; Technol, Environm &amp; Water Directorate, Baghdad, Iraq; [Al-Janabi, Ahmed Mohammed Sami] Tishk Int Univ Erbil, Fac Engn, Dept Civil Engn, Erbil, Kurdistan Regio, Iraq; [Halder, Bijay] Vidyasgaar Univ, Dept Remote Sensing, Midnapore, India; [Halder, Bijay] Vidyasgaar Univ, GIS, Midnapore, India; [Yaseen, Zaher Mundher] Univ Southern Queensland, Sch Math Phys &amp; Comp, USQs Adv Data Analyt Res Grp, Toowoomba, Qld 4350, Australia; [Yaseen, Zaher Mundher] Al Ayen Univ, Sci Res Ctr, New Era &amp; Dev Civil Engn Res Grp, Thi Qar 64001, Iraq; [Yaseen, Zaher Mundher] Asia Univ, Coll Creat Design, Taichung, Taiwan; [Yaseen, Zaher Mundher] Univ Teknol MARA, Inst Big Data Analyt &amp; Artificial Intelligence IB, Shah Alam 40450, Selangor, Malaysia</t>
  </si>
  <si>
    <t>Iraq Ministry of Science &amp; Technology (MOST); Tishk International University; Vidyasagar University; Vidyasagar University; University of Southern Queensland; Al-Ayen University; Asia University Taiwan; Universiti Teknologi MARA</t>
  </si>
  <si>
    <t>Yaseen, ZM (corresponding author), Univ Southern Queensland, Sch Math Phys &amp; Comp, USQs Adv Data Analyt Res Grp, Toowoomba, Qld 4350, Australia.;Yaseen, ZM (corresponding author), Al Ayen Univ, Sci Res Ctr, New Era &amp; Dev Civil Engn Res Grp, Thi Qar 64001, Iraq.;Yaseen, ZM (corresponding author), Asia Univ, Coll Creat Design, Taichung, Taiwan.;Yaseen, ZM (corresponding author), Univ Teknol MARA, Inst Big Data Analyt &amp; Artificial Intelligence IB, Shah Alam 40450, Selangor, Malaysia.</t>
  </si>
  <si>
    <t>3-4</t>
  </si>
  <si>
    <t>10.1007/s00704-022-03976-y</t>
  </si>
  <si>
    <t>Patra, AK; Roy, A; Gomila, RM; Kundu, S; Srimayee, S; Halder, D; Saha, R; Lee, CH; Hossain, M; Frontera, A; Manna, D; Saha, I</t>
  </si>
  <si>
    <t>Patra, Ashoke Kumar; Roy, Anik; Gomila, Rosa M.; Kundu, Somenath; Srimayee, Soumya; Halder, Dibakar; Saha, Rajat; Lee, Chang-Hee; Hossain, Maidul; Frontera, Antonio; Manna, Debasis; Saha, Indrajit</t>
  </si>
  <si>
    <t>Binding of Linear Anions and Formation of Anion Encapsulated Dimeric Capsular Assembly by Cis-5,15-bis(3,5-trifluoromethylphenyl)calix[4]pyrrole</t>
  </si>
  <si>
    <t>EUROPEAN JOURNAL OF ORGANIC CHEMISTRY</t>
  </si>
  <si>
    <t>calix[4]pyrrole; CF-FC interaction; cyanate binding; DFT calculations; dimeric capsular assembly</t>
  </si>
  <si>
    <t>BONDED SUPRAMOLECULAR CAPSULES; BASIS-SETS; CYANATE; CHEMISTRY</t>
  </si>
  <si>
    <t>Cis-5,15-bis(3,5-trifluoromethylphenyl)calix[4]pyrrole (1) forms stable 1/1 complexes with linear anions such as N-3(-), SCN- and NCO- with the highest affinity for NCO- anion in acetonitrile solution. Crystallization of receptor 1 with TBASCN and (TMA)(2)SO4 resulted in the formation of dimeric capsular assembly, {(TMA)(2)[1(2) &amp; sdot; (SCN)(2)]}, in which two thiocyanate anions are encapsulated. On the other hand, 1 &amp; sdot; OCN(TMA) and 1 &amp; sdot; N-3(TMA) complexes form one dimensional columnar structure in the solid state.</t>
  </si>
  <si>
    <t>[Patra, Ashoke Kumar; Roy, Anik; Halder, Dibakar; Saha, Indrajit] Ramakrishna Mission Residential Coll, Dept Chem, Kolkata 700103, India; [Gomila, Rosa M.; Frontera, Antonio] Univ IllesBalears, Dept Chem, Crta Valldemossa km 7-5, Palma De Mallorca 07122, Baleares, Spain; [Kundu, Somenath; Hossain, Maidul] Vidyasagar Univ, Dept Chem, Midnapore 721102, India; [Srimayee, Soumya; Manna, Debasis] Indian Inst Technol Guwahati, Dept Chem, Gauhati 781039, India; [Saha, Rajat] Kazi Nazrul Univ, Dept Chem, Asansol 713340, India; [Lee, Chang-Hee] Kangwon Natl Univ, Dept Chem &amp; Biochem, Chunchon 24341, South Korea</t>
  </si>
  <si>
    <t>Universitat de les Illes Balears; Vidyasagar University; Indian Institute of Technology System (IIT System); Indian Institute of Technology (IIT) - Guwahati; Kangwon National University</t>
  </si>
  <si>
    <t>Saha, I (corresponding author), Ramakrishna Mission Residential Coll, Dept Chem, Kolkata 700103, India.;Frontera, A (corresponding author), Univ IllesBalears, Dept Chem, Crta Valldemossa km 7-5, Palma De Mallorca 07122, Baleares, Spain.;Hossain, M (corresponding author), Vidyasagar Univ, Dept Chem, Midnapore 721102, India.;Manna, D (corresponding author), Indian Inst Technol Guwahati, Dept Chem, Gauhati 781039, India.</t>
  </si>
  <si>
    <t>1434-193X</t>
  </si>
  <si>
    <t>1099-0690</t>
  </si>
  <si>
    <t>10.1002/ejoc.202400217</t>
  </si>
  <si>
    <t>Pal, Sanjoy; Chowdhury, Trinath; Paria, Kishalay; Manna, Sounik; Parveen, Sana; Singh, Manjeet; Sharma, Pralay; Islam, Sk Saruk; Saadi, Sk Md Abu Imam; Mandal, Santi M.</t>
  </si>
  <si>
    <t>Brief survey on phytochemicals to prevent COVID-19</t>
  </si>
  <si>
    <t>[Pal, Sanjoy] Kultikari Kshirodamoyee Hgh Sch HS, Ghatal, West Bengal, India; [Chowdhury, Trinath; Mandal, Santi M.] Indian Inst Technol Kharagpur, Cent Res Fac, Kharagpur 721302, West Bengal, India; [Paria, Kishalay] Vidyasagar Univ, Dept Zool, Midnapore, West Bengal, India; [Manna, Sounik] Midnapore Coll Autonomous, Dept Microbiol, Midnapore, West Bengal, India; [Parveen, Sana; Singh, Manjeet; Sharma, Pralay] Natl Inst Homoeopathy, Kolkata, India; [Islam, Sk Saruk] Bidhan Chandra Krishi Viswavidyalaya, Dept Plant Pathol, Mohanpur 741235, West Bengal, India; [Saadi, Sk Md Abu Imam] Aliah Univ, Dept Biol Sci, IIA-27, Kolkata 700160, West Bengal, India; [Mandal, Santi M.] Indian Inst Technol, Cent Res Facil, Kharagpur 721302, India</t>
  </si>
  <si>
    <t>Indian Institute of Technology System (IIT System); Indian Institute of Technology (IIT) - Kharagpur; Vidyasagar University; Midnapore College; Bidhan Chandra Agricultural University; Aliah University; Indian Institute of Technology System (IIT System); Indian Institute of Technology (IIT) - Kharagpur</t>
  </si>
  <si>
    <t>Mandal, SM (corresponding author), Indian Inst Technol, Cent Res Facil, Kharagpur 721302, India.</t>
  </si>
  <si>
    <t>RADARWEG 29a, 1043 NX AMSTERDAM, NETHERLANDS</t>
  </si>
  <si>
    <t>10.1016/j.jics.2021.100244</t>
  </si>
  <si>
    <t>Medda, N; Maiti, S; Acharyya, N; Samanta, T; Banerjee, A; De, SK; Ghosh, TK; Maiti, S</t>
  </si>
  <si>
    <t>Medda, Nandita; Maiti, Sayantani; Acharyya, Nirmallya; Samanta, Tanmoy; Banerjee, Amrita; De, Subrata Kr.; Ghosh, Tamal Kanti; Maiti, Smarajit</t>
  </si>
  <si>
    <t>Arsenic Induced Oxidative Neural-Damages in Rat are Mitigated by Tea-Leave Extract via MMPs and AChE Inactivation, Shown by Molecular Docking and in Vitro Studies with Pure Theaflavin and AChE</t>
  </si>
  <si>
    <t>Arsenic toxicity; Cerebrum and cerebellum; Antioxidant system; Acetyl cholinesterase; Matrix-metalloproteinase; Camellia sinensis</t>
  </si>
  <si>
    <t>URIC-ACID; WEST-BENGAL; ANTIOXIDANT CAPACITY; DRINKING-WATER; LIVER-DAMAGE; BLACK TEA; BRAIN; EXPOSURE; ALLOPURINOL; TOXICITY</t>
  </si>
  <si>
    <t>Background: Chronic arsenic-exposure causes neuromuscular disorders and other health anomalies. Damage to DNA and cytoskeletal/extracellular matrix is brought on by reactive-oxygen-species (ROS)-induced intrinsic antioxidant depletion (thiols/urate). Therapeutic chelating-agents have multiple side-effects. Objectives: The protection of (Camellia sinensis) tea-extract and role of uric-acid (UA) or allopurinol (urate-depletor) on arsenic-toxicity were verified in rat model. Methods: Camellia sinensis (CS dry-leaves), UA or allopurinol was supplemented to arsenic-intoxicated rats for 4-weeks. Purified theaflavins and their galloyl-ester were tested in-vitro on pure AChE (acetylcholinesterase) and their PDB/PubChem 3-D structures were utilized for in-silico binding studies. The primary chemical components were evaluated from CS-extracts. Biochemical analysis, PAGE-zymogram, DNA-stability comet analysis, HE-staining was performed in arsenic-exposed rat brain tissues. Results: Animals exposed to arsenic showed symptoms of erratic locomotion, decreased intrinsic antioxidants (catalase/SOD1/uric acid), increased AChE, and malondialdehyde. Cerebellar and cerebrum tissue damages were shown with increased levels of matrix-metalloprotease (MMP2/9) and DNA damage (comets). Allopurinol- supplemented group demonstrated somewhat similar biochemical responses. In the CS-group brain tissues especially cerebellum is considerably protected which is evident from endogenous antioxidant and DNA and cytoskeleton protection with concomitant inactivation of MMPs and AChE. Present study indicates theaflavin-digallate (TFDG) demonstrated the highest inhibition of purified AChE (IC50 = 2.19 mu g/ml with the lowest binding free-energy; -369.87 kcal/mol) followed by TFMG (IC50 = 3.86 mu g/ml, -347.06 kcal/mol) suggesting their possible restoring effects of cholinergic response. Conclusions: Favorable responses in UA-group and adverse outcome in allo-group justify the neuro-protective effects of UA as an endogenous antioxidant. Role of flavon-gallate in neuro protection mechanism may be further studied.</t>
  </si>
  <si>
    <t>[Medda, Nandita; Maiti, Sayantani; Acharyya, Nirmallya] Oriental Inst Sci &amp; Technol, Dept Biochem &amp; Biotechnol, Midnapore 721102, West Bengal, India; [Samanta, Tanmoy] Indian Inst Technol Kharagpur, Kharagpur, West Bengal, India; [Banerjee, Amrita; Maiti, Smarajit] ICARE, Haldia Inst Hlth Sci, Haldia, West Bengal, India; [De, Subrata Kr.] Vidyasagar Univ, Dept Zool, Medinipur 721102, India; [Ghosh, Tamal Kanti] Purulia Govt Med Coll &amp; Hosp, Purulia, West Bengal, India; [Medda, Nandita] Indian Inst Technol, Roorkee, Uttaranchal, India; [Acharyya, Nirmallya] US FDA, Silver Spring, MD USA; [Banerjee, Amrita] Siksha Oanusandhan Deemed be Univ, Ctr Ind Biotechnol Res, Sch Pharmaceut Sci, Bhubaneswar 751003, Orissa, India</t>
  </si>
  <si>
    <t>Indian Institute of Technology System (IIT System); Indian Institute of Technology (IIT) - Kharagpur; Vidyasagar University; Indian Institute of Technology System (IIT System); Indian Institute of Technology (IIT) - Roorkee; US Food &amp; Drug Administration (FDA); Siksha 'O' Anusandhan University</t>
  </si>
  <si>
    <t>Maiti, S (corresponding author), ICARE, Haldia Inst Hlth Sci, Haldia, West Bengal, India.</t>
  </si>
  <si>
    <t>10.1007/s12013-024-01369-8</t>
  </si>
  <si>
    <t>Venkatachalam, K.; Al-onazi, Badriyya B.; Simic, Vladimir; Tirkolaee, Erfan Babaee; Jana, Chiranjibe</t>
  </si>
  <si>
    <t>DeepFND: an ensemble-based deep learning approach for the optimization and improvement of fake news detection in digital platform</t>
  </si>
  <si>
    <t>PEERJ COMPUTER SCIENCE</t>
  </si>
  <si>
    <t>[Venkatachalam, K.] Univ Hradec Kralove, Dept Appl Cybernet, Hradec Kralove, Czech Republic; [Al-onazi, Badriyya B.] Princess Nourah Bint Abdulrahman Univ, Dept Language Preparat, Riyadh, Saudi Arabia; [Simic, Vladimir] Univ Belgrade, Fac Transport &amp; Traff Engn, Belgrade, Serbia; [Simic, Vladimir] Yuan Ze Univ, Dept Ind Engn &amp; Management, Taoyuan City, Taiwan; [Tirkolaee, Erfan Babaee] Istinye Univ, Dept Ind Engn, Istanbul, Turkiye; [Tirkolaee, Erfan Babaee] Middle East Univ, MEU Res Unit, Amman, Jordan; [Jana, Chiranjibe] Vidyasagar Univ, Dept Appl Math Oceanol &amp; Comp Programming, Midnapore, India</t>
  </si>
  <si>
    <t>University of Hradec Kralove; Princess Nourah bint Abdulrahman University; University of Belgrade; Yuan Ze University; Istinye University; Middle East University; Vidyasagar University</t>
  </si>
  <si>
    <t>Venkatachalam, K (corresponding author), Univ Hradec Kralove, Dept Appl Cybernet, Hradec Kralove, Czech Republic.</t>
  </si>
  <si>
    <t>PEERJ INC</t>
  </si>
  <si>
    <t>341-345 OLD ST, THIRD FLR, LONDON, EC1V 9LL, ENGLAND</t>
  </si>
  <si>
    <t>2376-5992</t>
  </si>
  <si>
    <t>10.7717/peerj-cs.1666</t>
  </si>
  <si>
    <t>Computer Science, Artificial Intelligence; Computer Science, Information Systems; Computer Science, Theory &amp; Methods</t>
  </si>
  <si>
    <t>Majumdar, D; Gassoumi, B; Dey, A; Roy, S; Ayachi, S; Hazra, S; Dalai, S</t>
  </si>
  <si>
    <t>Majumdar, Dhrubajyoti; Gassoumi, Bouzid; Dey, Arka; Roy, Sourav; Ayachi, Sahbi; Hazra, Suman; Dalai, Sudipta</t>
  </si>
  <si>
    <t>Synthesis, characterization, crystal structure, and fabrication of photosensitive Schottky device of a binuclear Cu(ii)-Salen complex: a DFT investigations</t>
  </si>
  <si>
    <t>RSC ADVANCES</t>
  </si>
  <si>
    <t>METAL-ORGANIC FRAMEWORKS; SCHIFF-BASE COMPLEXES; COPPER(II) COMPLEXES; SPECTROSCOPIC CHARACTERIZATION; MAGNETIC-PROPERTIES; LIGAND; BEHAVIOR; ATOMS; SALICYLALDEHYDE; NICKEL(II)</t>
  </si>
  <si>
    <t>This work explores one centrosymmetric binuclear Cu(II)-Salen complex synthesis, characterization, photosensitive Schottky barrier diode (PSBD) function, and DFT spectrum. The crystal growth involves H2LSAL and Cu(NO3)(2)3H(2)O in CH3OH + ACN (acetonitrile) solvent medium. Herein, structural characterization employs elemental, IR/Raman, NMR, UV-VIS, DRS, SEM-EDX, PXRD, SCXRD, and XPS analyses. The complex crystal size is 0.2 x 0.2 x 0.2, showing monoclinic space group C2/c. The dimeric unit contains two Cu(II) centres with distorted square pyramidal (SQP) geometries. The crystal packing consists of weak C-H &amp; ctdot;O interactions. DFT and Hirshfeld surface (HS) further substantiated the packing interactions, providing valuable insights into the underlying mechanisms. The 2-D fingerprint plots showed the presence of N &amp; ctdot;H (3%) and O &amp; ctdot;H (8.2%) contacts in the molecular arrangement. NBO, QTAIM, ELF-LOL, and energy frameworks are utilized to investigate the bonding features of the complex. We extensively studied electrical conductivity and PSBD for H2LSAL and the complex based on band gap (3.09 and 3.07 eV). Like an SBD, the complex has better electrical conductivity, evidencing potentiality in optoelectronic device applications. Optical response enhances conductivity, according to I-V characteristics. Complex Schottky diode has lower barrier height, resistance, and higher conductivity under light. The complex transports charge carriers through space and is rationalized by the 'hopping process' and 'structure-activity-relationship' (SAR). The charge transport mechanism was analysed by estimating complex mobility (mu(eff)), lifetime (tau), and diffusion length (L-D). The experimental and theoretical DOS/PDOS plots provide evidence for the Schottky diode function of the complex.</t>
  </si>
  <si>
    <t>[Majumdar, Dhrubajyoti; Hazra, Suman] Dept Chem, Tamralipta Mahavidyalaya, Tamluk 721636, W Bengal, India; [Gassoumi, Bouzid] Univ Monastir, Fac Sci Monastir, Lab Adv Mat &amp; Interfaces LIMA, Ave Environm, Monastir 5000, Tunisia; [Dey, Arka] Natl Inst Technol Durgapur, Dept Phys, Durgapur 713209, India; [Roy, Sourav] Indian Inst Sci, Solid State &amp; Struct Chem Unit, Bangalore 560012, India; [Ayachi, Sahbi] Univ Monastir, Fac Sci, Lab Physicochem Mat LR01ES19, Ave Environm, Monastir 5019, Tunisia; [Hazra, Suman; Dalai, Sudipta] Vidyasagar Univ, Dept Chem, Midnapore 721102, W Bengal, India</t>
  </si>
  <si>
    <t>Universite de Monastir; National Institute of Technology (NIT System); National Institute of Technology Durgapur; Indian Institute of Science (IISC) - Bangalore; Universite de Monastir; Vidyasagar University</t>
  </si>
  <si>
    <t>Majumdar, D (corresponding author), Dept Chem, Tamralipta Mahavidyalaya, Tamluk 721636, W Bengal, India.;Dalai, S (corresponding author), Vidyasagar Univ, Dept Chem, Midnapore 721102, W Bengal, India.</t>
  </si>
  <si>
    <t>2046-2069</t>
  </si>
  <si>
    <t>RSC ADV</t>
  </si>
  <si>
    <t>RSC Adv.</t>
  </si>
  <si>
    <t>10.1039/d4ra01846j</t>
  </si>
  <si>
    <t>Siddiqui, Shahida Anusha; Alvi, Tayyaba; Biswas, Abhishek; Shityakov, Sergey; Gusinskaia, Tatiana; Lavrentev, Filipp; Dutta, Kunal; Khan, Muhammad Kashif Iqbal; Stephen, Jaspin; Radhakrishnan, Mahendran</t>
  </si>
  <si>
    <t>Food gels: principles, interaction mechanisms and its microstructure</t>
  </si>
  <si>
    <t>CRITICAL REVIEWS IN FOOD SCIENCE AND NUTRITION</t>
  </si>
  <si>
    <t>[Siddiqui, Shahida Anusha] Tech Univ Munich, Campus Straubing Biotechnol &amp; Sustainabil, Straubing, Germany; [Siddiqui, Shahida Anusha] German Inst Food Technol DIL eV, Quakenbruck, Germany; [Alvi, Tayyaba; Khan, Muhammad Kashif Iqbal] Univ Agr Faisalabad, Natl Inst Food Sci &amp; Technol, Faisalabad, Pakistan; [Biswas, Abhishek] Indian Inst Technol, Kharagpur, W Bengal, India; [Shityakov, Sergey; Gusinskaia, Tatiana; Lavrentev, Filipp] ITMO Univ, Infochem Sci Ctr, Lab Chemoinformat, St Petersburg, Russia; [Dutta, Kunal] Vidyasagar Univ, Dept Human Physiol, Midnapore, W Bengal, India; [Stephen, Jaspin; Radhakrishnan, Mahendran] NIFTEM Thanjavur, Ctr Excellence Nonthermal Proc, Thanjavur, Tamil Nadu, India</t>
  </si>
  <si>
    <t>Technical University of Munich; University of Agriculture Faisalabad; Indian Institute of Technology System (IIT System); Indian Institute of Technology (IIT) - Kharagpur; ITMO University; Vidyasagar University</t>
  </si>
  <si>
    <t>Siddiqui, SA (corresponding author), Tech Univ Munich, Campus Straubing Biotechnol &amp; Sustainabil, Straubing, Germany.;Siddiqui, SA (corresponding author), German Inst Food Technol DIL eV, Quakenbruck, Germany.;Radhakrishnan, M (corresponding author), NIFTEM Thanjavur, Ctr Excellence Nonthermal Proc, Thanjavur, Tamil Nadu, India.</t>
  </si>
  <si>
    <t>1040-8398</t>
  </si>
  <si>
    <t>1549-7852</t>
  </si>
  <si>
    <t>10.1080/10408398.2022.2103087</t>
  </si>
  <si>
    <t>Food Science &amp; Technology; Nutrition &amp; Dietetics</t>
  </si>
  <si>
    <t>SenGupta, A; Roy, M</t>
  </si>
  <si>
    <t>SenGupta, Ashis; Roy, Moumita</t>
  </si>
  <si>
    <t>A characteristic function based circular distribution family and its goodness of fit : The flexible wrapped Linnik family</t>
  </si>
  <si>
    <t>JOURNAL OF APPLIED STATISTICS</t>
  </si>
  <si>
    <t>Asymptotic distribution; characteristic function based estimator; efficiency; heavy tail; wrapped Linnik distribution</t>
  </si>
  <si>
    <t>TESTS</t>
  </si>
  <si>
    <t>In this article, the primary aim is to introduce a new flexible family of circular distributions, namely the wrapped Linnik family which possesses the flexibility to model the inflection points and tail behavior often better than the existing popular flexible symmetric unimodal circular models. The second objective of this article is to obtain a simple and efficient estimator of the index parameter alpha of symmetric Linnik distribution exploiting the fact that it is preserved in the wrapped Linnik family. This is an interesting problem for highly volatile financial data as has been studied by several authors. Our final aim is to analytically derive the asymptotic distribution of our estimator, not available for other estimator. This estimator is shown to outperform the existing estimator over the range of the parameter for all sample sizes. The proposed wrapped Linnik distribution is applied to some real-life data. A measure of goodness of fit proposed in one of the authors' previous works is used for the above family of distributions. The wrapped Linnik family was found to be preferable as it gave better fit to those data sets rather than the popular von-Mises distribution or the wrapped stable family of distributions.</t>
  </si>
  <si>
    <t>[SenGupta, Ashis] Indian Inst Technol, Dept Math, Kharagpur, India; [SenGupta, Ashis] MCG Augusta Univ, Dept Populat Hlth Sci, Augusta, GA USA; [SenGupta, Ashis] Middle East Tech Univ, Dept Stat, Ankara, Turkiye; [Roy, Moumita] Vidyasagar Univ, Midnapore Coll Autonomous, Dept Stat, Midnapore, India</t>
  </si>
  <si>
    <t>Indian Institute of Technology System (IIT System); Indian Institute of Technology (IIT) - Kharagpur; University System of Georgia; Augusta University; Middle East Technical University; Vidyasagar University; Midnapore College</t>
  </si>
  <si>
    <t>Roy, M (corresponding author), Vidyasagar Univ, Midnapore Coll Autonomous, Dept Stat, Midnapore, India.</t>
  </si>
  <si>
    <t>0266-4763</t>
  </si>
  <si>
    <t>1360-0532</t>
  </si>
  <si>
    <t>10.1080/02664763.2023.2283689</t>
  </si>
  <si>
    <t>Statistics &amp; Probability</t>
  </si>
  <si>
    <t>Green Published, Green Submitted</t>
  </si>
  <si>
    <t>Maiti, Arabinda; Acharya, Prasenjit; Sannigrahi, Srikanta; Zhang, Qi; Bar, Somnath; Chakraborti, Suman; Gayen, Bijoy K.; Barik, Gunadhar; Ghosh, Surajit; Punia, Milap</t>
  </si>
  <si>
    <t>Mapping active paddy rice area over monsoon asia using time-series Sentinel-2 images in Google earth engine; a case study over lower gangetic plain</t>
  </si>
  <si>
    <t>[Maiti, Arabinda; Acharya, Prasenjit; Barik, Gunadhar] Vidyasagar Univ, Dept Geog, Midnapore, W Bengal, India; [Sannigrahi, Srikanta] Univ Coll Dublin Richview, Sch Architecture Planning &amp; Environm Policy, Dublin, Ireland; [Zhang, Qi] Boston Univ, Dept Earth &amp; Environm, Boston, MA 02215 USA; [Zhang, Qi] Boston Univ, Frederick S Pardee Ctr Study Longer Range Future, Frederick S Pardee Sch Global Studies, Boston, MA 02215 USA; [Bar, Somnath] Cent Univ Jharkhand, Sch Nat Resource Management, Dept Geoinformat, Ranchi, Bihar, India; [Chakraborti, Suman; Punia, Milap] Jawaharlal Nehru Univ, Ctr Study Reg Dev, Delhi, India; [Gayen, Bijoy K.] Vidyasagar Univ, Dept Remote Sensing, Midnapore, W Bengal, India; [Ghosh, Surajit] Int Water Management Inst IWMI, Colombo, Sri Lanka</t>
  </si>
  <si>
    <t>Vidyasagar University; University College Dublin; Boston University; Boston University; Central University of Jharkhand; Jawaharlal Nehru University, New Delhi; Vidyasagar University; CGIAR; International Water Management Institute (IWMI)</t>
  </si>
  <si>
    <t>10.1080/10106049.2022.2032396</t>
  </si>
  <si>
    <t>Palanikumar, M; Jana, C; Mohamadghasemi, A; Pal, M; Pamucar, D</t>
  </si>
  <si>
    <t>Palanikumar, M.; Jana, Chiranjibe; Mohamadghasemi, Amir; Pal, Madhumangal; Pamucar, Dragan</t>
  </si>
  <si>
    <t>Selection of robot technology using q-rung normal fuzzy interaction based decision-making model</t>
  </si>
  <si>
    <t>Interaction operators; q-rung fuzzy normal interactive operators; Robotic technology; Multi-attribute decision-making</t>
  </si>
  <si>
    <t>AGGREGATION OPERATORS; EXTENSION; TOPSIS; SETS</t>
  </si>
  <si>
    <t>In this paper, we present novel approaches to multi-attribute decision-making problems using q-rung normal fuzzy numbers. The q-rung normal fuzzy sets are an important way to express uncertain information, and they are superior to the intuitionistic fuzzy sets, Pythagorean fuzzy sets and normal Pythagorean fuzzy sets. A combination of the q-rung fuzzy number and the normal fuzzy number becomes q-rung normal fuzzy numbers. The new averaging and geometric operations of q-rung normal fuzzy numbers are studied using the general aggregation function. There are both commutative, associative, idempotent and boundedness compatible using q-rung normal fuzzy numbers. There are four new aggregating operators presented such as q-rung normal fuzzy interaction weighted averaging, q-rung normal fuzzy interaction weighted geometric, qrung generalized normal fuzzy interaction weighted averaging and q-rung generalized normal fuzzy interaction weighted geometric. Usually, the aggregation functions are taken to be the Euclidean distance and Hamming distance. The existence of these operators enables the development of algorithms that solve multi-attribute decision-making problems. We demonstrate the application of enhanced Euclidean and Hamming distances to problems arising in real-world situations. An important component of a robot sensor is computer science and machine tool technology. There are four factors that can be used to evaluate robotics systems: resolution, sensitivity, error and accuracy. In order to determine the best alternative, expert opinions should be compared to the criteria. The accuracy of these models is better and they are closer to q. Finally, we used some practical examples to illustrate the validity and superiority of the proposed method by comparing with other existing methods.</t>
  </si>
  <si>
    <t>[Palanikumar, M.] Saveetha Inst Med &amp; Tech Sci, Saveetha Sch Engn, Chennai 602105, India; [Jana, Chiranjibe; Pal, Madhumangal] Vidyasagar Univ, Dept Appl Math Oceanol &amp; Comp Programming, Midnapore 721102, India; [Mohamadghasemi, Amir] Islamic Azad Univ, Dept Management, Zabol Branch, Zabol, Iran; [Pamucar, Dragan] Univ Belgrade, Fac Org Sci, Dept Operat Res &amp; Stat, Belgrade, Serbia; [Pamucar, Dragan] Yuan Ze Univ, Dept Ind Engn &amp; Management, Taoyuan City, Taiwan; [Pamucar, Dragan] Lebanese Amer Univ, Dept Comp Sci &amp; Math, Byblos, Lebanon</t>
  </si>
  <si>
    <t>Saveetha Institute of Medical &amp; Technical Science; Saveetha School of Engineering; Vidyasagar University; Islamic Azad University; University of Belgrade; Yuan Ze University; Lebanese American University</t>
  </si>
  <si>
    <t>10.1016/j.engappai.2024.108464</t>
  </si>
  <si>
    <t>Das, Narasingha; Hossain, Md. Emran; Bera, Pinki; Gangopadhyay, Partha; Cifuentes-Faura, Javier; Aneja, Ranjan; Kamal, Mustafa</t>
  </si>
  <si>
    <t>Decarbonization through sustainable energy technologies: Asymmetric evidence from 20 most innovative nations across the globe</t>
  </si>
  <si>
    <t>[Das, Narasingha] Economists Peace &amp; Secur Australia Chapter, Sydney, Australia; [Hossain, Md. Emran] Bangladesh Agr Univ, Dept Agr Finance &amp; Banking, Mymensingh, Bangladesh; [Bera, Pinki] Vidyasagar Univ, Dept Econ, Midnapore, W Bengal, India; [Gangopadhyay, Partha] Western Sydney Univ, Sch Business, Sydney, Australia; [Cifuentes-Faura, Javier] Univ Murcia, Fac Econ &amp; Business, Murcia, Spain; [Aneja, Ranjan] Cent Univ Haryana, Dept Econ, Jaat, Haryana, India; [Kamal, Mustafa] Saudi Elect Univ, Coll Sci &amp; Theoret Studies, Dept Basic Sci, Dammam, Saudi Arabia; [Hossain, Md. Emran] Bangladesh Agr Univ, Dept Agr Finance &amp; Banking, Mymensingh 2202, Bangladesh</t>
  </si>
  <si>
    <t>Bangladesh Agricultural University (BAU); Vidyasagar University; Western Sydney University; University of Murcia; Central University of Haryana; Saudi Electronic University; Bangladesh Agricultural University (BAU)</t>
  </si>
  <si>
    <t>10.1177/0958305X231183921</t>
  </si>
  <si>
    <t>Roy, B; Guha, P; Chang, CH; Nahak, P; Karmakar, G; Bykov, AG; Akentiev, AV; Noskov, BA; Patra, A; Dutta, K; Ghosh, C; Panda, AK</t>
  </si>
  <si>
    <t>Roy, Biplab; Guha, Pritam; Chang, Chien-Hsiang; Nahak, Prasant; Karmakar, Gourab; Bykov, Alexey G.; Akentiev, Alexander V.; Noskov, Boris A.; Patra, Anuttam; Dutta, Kunal; Ghosh, Chandradipa; Panda, Amiya Kumar</t>
  </si>
  <si>
    <t>Effect of cationic dendrimer on membrane mimetic systems in the form of monolayer and bilayer</t>
  </si>
  <si>
    <t>CHEMISTRY AND PHYSICS OF LIPIDS</t>
  </si>
  <si>
    <t>Langmuir monolayer; Bilayer disintegration; PAMAM-dendrimer</t>
  </si>
  <si>
    <t>POLYAMIDOAMINE PAMAM DENDRIMERS; AIR-WATER-INTERFACE; LIPID CHAIN-LENGTH; PHOSPHOLIPID MONOLAYERS; MIXED MONOLAYERS; CHOLESTEROL; LIPOSOME; BINARY; STABILITY; PEPTIDE</t>
  </si>
  <si>
    <t>Interactions between a zwitterionic phospholipid, 1, 2-dipalmitoyl-sn-glycero-3-phosphatidylcholine (DPPC) and four anionic phospholipids dihexadecyl phosphate (DHP), 1, 2-dimyristoyl-sn-glycero-3-phosphoglycerol (DMPG), 1, 2-dipalmitoyl-sn-glycero-3-phosphate (DPP) and 1, 2-dipalmitoyl-sn-glycero-3-phospho ethanol (DPPEth) in combination with an additional amount of 30 mol% cholesterol were separately investigated at air-buffer interface through surface pressure (pi) -area (A) measurements. pi-A isotherm derived parameters revealed maximum negative deviation from ideality for the mixtures comprising 30 mol% anionic lipids. Besides the film functionality, structural changes of the monomolecular films at different surface pressures in the absence and presence of polyamidoamine (PAMAM, generation 4), a cationic dendrimer, were visualised through Brewster angle microscopy and fluorescence microscopic studies. Fluidity/rigidity of monolayers were assessed by surface dilatational rheology studies. Effect of PAMAM on the formation of adsorbed monolayer, due to bilayer disin-tegration of liposomes (DPPC:anionic lipids= 7:3 M/M, and 30 mol% cholesterol) were monitored by surface pressure (pi) -time (t) isotherms. Bilayer disintegration kinetics were dependent on lipid head group and chain length, besides dendrimer concentration. Such studies are considered to be an in vitro cell membrane model where the alteration of molecular orientation play important roles in understanding the nature of interaction between the dendrimer and cell membrane. Liposome-dendrimer aggregates were nontoxic to breast cancer cell line as well as in doxorubicin treated MDA-MB-468 cell line suggesting their potential as drug delivery systems.</t>
  </si>
  <si>
    <t>[Roy, Biplab; Guha, Pritam; Nahak, Prasant; Karmakar, Gourab] Univ North Bengal, Dept Chem, Darjeeling 734013, W Bengal, India; [Roy, Biplab; Patra, Anuttam] Lulea Univ Technol, Chem Interfaces Grp, SE-97187 Lulea, Sweden; [Guha, Pritam] Polymer Inst, Slovak Acad Sci, Dept Biomat Res, Bratislava 84541, Slovakia; [Chang, Chien-Hsiang] Natl Cheng Kung Univ, Dept Chem Engn, Tainan, Taiwan; [Bykov, Alexey G.; Akentiev, Alexander V.; Noskov, Boris A.] St Petersburg State Univ, Dept Colloid Chem, Universitetsky pr 26, St Petersburg 198504, Russia; [Dutta, Kunal; Ghosh, Chandradipa] Vidyasagar Univ, Dept Human Physiol, Midnapore 721102, W Bengal, India; [Panda, Amiya Kumar] Vidyasagar Univ, Dept Chem, Midnapore 721102, W Bengal, India</t>
  </si>
  <si>
    <t>University of North Bengal; Lulea University of Technology; Slovak Academy of Sciences; Polymer Institute, SAS; National Cheng Kung University; Saint Petersburg State University; Vidyasagar University; Vidyasagar University</t>
  </si>
  <si>
    <t>Panda, AK (corresponding author), Vidyasagar Univ, Dept Chem, Midnapore 721102, W Bengal, India.</t>
  </si>
  <si>
    <t>0009-3084</t>
  </si>
  <si>
    <t>1873-2941</t>
  </si>
  <si>
    <t>10.1016/j.chemphyslip.2023.105364</t>
  </si>
  <si>
    <t>Alsattar, Hassan A.; Qahtan, Sarah; Mourad, Nahia; Zaidan, A. A.; Deveci, Muhammet; Jana, Chiranjibe; Ding, Weiping</t>
  </si>
  <si>
    <t>Three-way decision-based conditional probabilities by opinion scores and Bayesian rules in circular-Pythagorean fuzzy sets for developing sustainable smart living framework</t>
  </si>
  <si>
    <t>[Alsattar, Hassan A.] Univ Mashreq, Coll Adm Sci, Dept Business Adm, Baghdad 10021, Iraq; [Alsattar, Hassan A.] Middle East Univ, MEU Res Unit, Amman, Jordan; [Qahtan, Sarah] Middle Tech Univ, Coll Hlth &amp; Med Tech, Dept Comp Ctr, Baghdad, Iraq; [Mourad, Nahia] British Univ Dubai, Fac Engn &amp; IT, Dubai, U Arab Emirates; [Zaidan, A. A.] SP Jain Sch Global Management, Lidcombe Sydney, NSW 2141, Australia; [Deveci, Muhammet] Natl Def Univ, Turkish Naval Acad, Dept Ind Engn, TR-34940 Istanbul, Turkiye; [Deveci, Muhammet] Imperial Coll London, Royal Sch Mines, London SW72AZ, England; [Deveci, Muhammet] Lebanese Amer Univ, Dept Elect &amp; Comp Engn, Byblos, Lebanon; [Jana, Chiranjibe] Vidyasagar Univ, Dept Appl Math Oceanol &amp; Comp Programming, Oceanol &amp; Comp Programming, Midnapore 721102, India; [Ding, Weiping] Nantong Univ, Sch Informat Sci &amp; Technol, Nantong 226019, Peoples R China</t>
  </si>
  <si>
    <t>Middle East University; Middle Technical University; Imperial College London; Lebanese American University; Vidyasagar University; Nantong University</t>
  </si>
  <si>
    <t>Deveci, M (corresponding author), Natl Def Univ, Turkish Naval Acad, Dept Ind Engn, TR-34940 Istanbul, Turkiye.;Ding, WP (corresponding author), Nantong Univ, Sch Informat Sci &amp; Technol, Nantong 226019, Peoples R China.</t>
  </si>
  <si>
    <t>10.1016/j.ins.2023.119681</t>
  </si>
  <si>
    <t>Halder, Bijay; Bandyopadhyay, Jatisankar; Khedher, Khaled Mohamed; Fai, Chow Ming; Tangang, Fredolin; Yaseen, Zaher Mundher</t>
  </si>
  <si>
    <t>Delineation of urban expansion influences urban heat islands and natural environment using remote sensing and GIS-based in industrial area</t>
  </si>
  <si>
    <t>[Halder, Bijay; Bandyopadhyay, Jatisankar] Vidyasagar Univ, Dept Remote Sensing &amp; GIS, Midnapore, India; [Khedher, Khaled Mohamed] King Khalid Univ, Coll Engn, Dept Civil Engn, Abha 61421, Saudi Arabia; [Khedher, Khaled Mohamed] Mrezga Univ Campus, Dept Civil Engn, High Inst Technol Studies, Nabeul 8000, Tunisia; [Fai, Chow Ming] Monash Univ Malaysia, Sch Engn, Discipline Civil Engn, Jalan Lagoon Selatan, Bandar Sunway 47500, Selangor, Malaysia; [Tangang, Fredolin; Yaseen, Zaher Mundher] Univ Kebangsaan Malaysia, Fac Sci &amp; Technol, Dept Earth Sci &amp; Environm, Bangi 43600, Selangor, Malaysia; [Yaseen, Zaher Mundher] Al Ayen Univ, Sci Res Ctr, New Era &amp; Dev Civil Engn Res Grp, Thi Qar 64001, Iraq</t>
  </si>
  <si>
    <t>Vidyasagar University; King Khalid University; Monash University; Monash University Malaysia; Universiti Kebangsaan Malaysia; Al-Ayen University</t>
  </si>
  <si>
    <t>Yaseen, ZM (corresponding author), Univ Kebangsaan Malaysia, Fac Sci &amp; Technol, Dept Earth Sci &amp; Environm, Bangi 43600, Selangor, Malaysia.;Yaseen, ZM (corresponding author), Al Ayen Univ, Sci Res Ctr, New Era &amp; Dev Civil Engn Res Grp, Thi Qar 64001, Iraq.</t>
  </si>
  <si>
    <t>10.1007/s11356-022-20821-x</t>
  </si>
  <si>
    <t>Jana, Abhimanyu; Aher, Abhishek; Brandao, Paula; Sharda, Saphy; Bera, Pradip; Phadikar, Ujjwal; Manna, Sunil Kumar; Mahapatra, Ajit Kumar; Bera, Pulakesh</t>
  </si>
  <si>
    <t>Dissociation of a tripodal pyridyl-pyrazole ligand and assortment of metal complex: Synthesis, structure, DFT, thermal stability, cytotoxicity, DNA cleavage, and molecular docking studies</t>
  </si>
  <si>
    <t>[Jana, Abhimanyu; Bera, Pradip; Phadikar, Ujjwal; Manna, Sunil Kumar; Bera, Pulakesh] Vidyasagar Univ, Panskura Banamali Coll Autonomous, Dept Chem, Midnapore East 721152, West Bengal, India; [Aher, Abhishek; Sharda, Saphy; Manna, Sunil Kumar] Ctr DNA Fingerprinting &amp; Diagnost CDFD, Hyderabad 500039, India; [Brandao, Paula] Univ Aveiro, Dept Chem, CICECO, P-3810193 Aveiro, Portugal; [Jana, Abhimanyu; Mahapatra, Ajit Kumar] Indian Inst Engn Sci &amp; Technol, Dept Chem, Howrah 711103, West Bengal, India; [Aher, Abhishek; Sharda, Saphy] Reg Ctr Biotechnol, Grad Studies, Faridabad 121001, Haryana, India; [Bera, Pradip] Kandi Raj Coll, Dept Chem, Murshidabad 742137, West Bengal, India; [Manna, Sunil Kumar] Adjunct Fac, Reg Ctr Biotechnol, Faridabad 121001, Haryana, India</t>
  </si>
  <si>
    <t>Vidyasagar University; Department of Biotechnology (DBT) India; Centre for DNA Fingerprinting &amp; Diagnostics (CDFD); Universidade de Aveiro; Indian Institute of Engineering Science Technology Shibpur (IIEST); Department of Biotechnology (DBT) India; Regional Centre for Biotechnology; Department of Biotechnology (DBT) India; Regional Centre for Biotechnology</t>
  </si>
  <si>
    <t>Bera, P (corresponding author), Vidyasagar Univ, Panskura Banamali Coll Autonomous, Dept Chem, Midnapore East 721152, West Bengal, India.</t>
  </si>
  <si>
    <t>10.1016/j.molstruc.2022.132479</t>
  </si>
  <si>
    <t>Roy, L; Pan, NVDT; Ghosh, R; Hasan, MN; Mondal, S; Banerjee, A; Das, M; Sen, O; Bhattacharya, K; Chattopadhyay, A; Pal, SK</t>
  </si>
  <si>
    <t>Roy, Lopamudra; Pan, Nivedita; Ghosh, Ria; Hasan, Md. Nur; Mondal, Susmita; Banerjee, Amrita; Das, Monojit; Sen, Oyshi; Bhattacharya, Kallol; Chattopadhyay, Arpita; Pal, Samir Kumar</t>
  </si>
  <si>
    <t>A Mutagen Acts as a Potent Reducing Agent of Glycated Hemoglobin: a Combined Ultrafast Electron Transfer and Computational Studies</t>
  </si>
  <si>
    <t>CHEMBIOCHEM</t>
  </si>
  <si>
    <t>HbA1 and HbA1c; Ethidium bromide (EtBr); biomacromolecular recognition; electron transfer; femtosecond resolved spectroscopy</t>
  </si>
  <si>
    <t>MOLECULAR RECOGNITION; ETHIDIUM-BROMIDE; DNA; PROTEIN; DYNAMICS; SYSTEMS</t>
  </si>
  <si>
    <t>Glycated hemoglobin (GHb) found in mammals undergoes irreversible damage when exposed to external redox agents, which is much more vulnerable than its normal counterpart hemoglobin (Hb). Besides the oxygen regulation throughout the body, Hb plays a vital role in balancing immunological health and the redox cycle. Photoinduced ultra-fast electron transfer phenomena actively participate in regulation of various kind of homeostasis involved in such biomacromolecules. In the present study we have shown that a well-known mutagen Ethidium Bromide (EtBr) reduces GHb in femtosecond time scale (efficiently) upon photoexcitation after efficient recognition in the biomolecule. We have performed similar experiment by colocalizing EtBr and Iron (Fe(III)) on the micellar surface as Hb mimic in order to study the excited state EtBr dynamics to rationalize the time scale obtained from EtBr in GHb and Hb. While other experimental techniques including Dynamic Light Scattering (DLS), Zeta potential, absorbance and emission spectroscopy have been employed for the confirmation of structural perturbation of GHb compared to Hb, a detailed computational studies involving molecular docking and density functional theory (DFT) have been employed for the explanation of the experimental observations. Reduction of Glycated Hemoglobin (GHb): Ethidium bromide (EtBr) in its excited state behaves as a potential reducing agent for hemoglobin (Hb). EtBr transfers its excited state electron to the iron (Fe(III)) residing inside the heme-group of Hb and reduces it to its lower ionic state. Due to structural modification and electrostatic interaction between GHb and EtBr, this ultrafast reduction increases. image</t>
  </si>
  <si>
    <t>[Roy, Lopamudra; Bhattacharya, Kallol] Univ Calcutta, Dept Appl Opt &amp; Photon, JD-2,Sect 3, Kolkata 700106, West Bengal, India; [Pan, Nivedita; Ghosh, Ria; Hasan, Md. Nur; Mondal, Susmita; Pal, Samir Kumar] SN Bose Natl Ctr Basic Sci, Dept Chem &amp; Biol Sci, Block JD,Sect 3, Kolkata, India; [Banerjee, Amrita] Jadavpur Univ, Dept Phys, 188 Raja SC Mallick Rd, Kolkata 700032, India; [Das, Monojit] Vidyasagar Univ, Dept Zool, Midnapore 721102, India; [Das, Monojit] Univ Calcutta, Uluberia Coll, Dept Zool, Howrah 711315, India; [Sen, Oyshi] Univ Kalyani, Dept Biochem &amp; Biophys, Kalyani 741245, West Bengal, India; [Chattopadhyay, Arpita] Techno Int New Town, Dept Basic Sci &amp; Humanities, Block DG 1-1,Act Area 1 New Town, Kolkata 700156, India</t>
  </si>
  <si>
    <t>University of Calcutta; Department of Science &amp; Technology (India); SN Bose National Centre for Basic Science (SNBNCBS); Jadavpur University; Vidyasagar University; University of Calcutta; Kalyani University</t>
  </si>
  <si>
    <t>Pal, SK (corresponding author), SN Bose Natl Ctr Basic Sci, Dept Chem &amp; Biol Sci, Block JD,Sect 3, Kolkata, India.;Chattopadhyay, A (corresponding author), Techno Int New Town, Dept Basic Sci &amp; Humanities, Block DG 1-1,Act Area 1 New Town, Kolkata 700156, India.</t>
  </si>
  <si>
    <t>1439-4227</t>
  </si>
  <si>
    <t>1439-7633</t>
  </si>
  <si>
    <t>10.1002/cbic.202300721</t>
  </si>
  <si>
    <t>Biochemistry &amp; Molecular Biology; Chemistry, Medicinal</t>
  </si>
  <si>
    <t>Biochemistry &amp; Molecular Biology; Pharmacology &amp; Pharmacy</t>
  </si>
  <si>
    <t>Halder, Bijay; Banik, Papiya; Almohamad, Hussein; Al Dughairi, Ahmed Abdullah; Al-Mutiry, Motrih; Al Shahrani, Haya Falah; Abdo, Hazem Ghassan</t>
  </si>
  <si>
    <t>Land Suitability Investigation for Solar Power Plant Using GIS, AHP and Multi-Criteria Decision Approach: A Case of Megacity Kolkata, West Bengal, India</t>
  </si>
  <si>
    <t>[Halder, Bijay] Vidyasagar Univ, Dept Remote Sensing &amp; GIS, Midnapore 721102, India; [Banik, Papiya] Univ Calcutta, Dept Geog, Kolkata 700019, India; [Almohamad, Hussein; Al Dughairi, Ahmed Abdullah; Al Shahrani, Haya Falah] Qassim Univ, Coll Arab Language &amp; Social Studies, Dept Geog, Buraydah 51452, Saudi Arabia; [Al-Mutiry, Motrih] Princess Nourah Bint Abdulrahman Univ, Coll Arts, Dept Geog, Riyadh 11671, Saudi Arabia; [Abdo, Hazem Ghassan] Univ Tartous, Fac Arts &amp; Humanities, Geog Dept, POB 2147, Tartous, Syria; [Abdo, Hazem Ghassan] Damascus Univ, Fac Arts &amp; Humanities, Geog Dept, POB 30621, Damascus, Syria; [Abdo, Hazem Ghassan] Tishreen Univ, Arts &amp; Humanities Fac, Geog Dept, POB 30621, Latakia, Syria</t>
  </si>
  <si>
    <t>Vidyasagar University; University of Calcutta; Qassim University; Princess Nourah bint Abdulrahman University; Tartous University; Damascus University; Tishreen University</t>
  </si>
  <si>
    <t>Almohamad, H (corresponding author), Qassim Univ, Coll Arab Language &amp; Social Studies, Dept Geog, Buraydah 51452, Saudi Arabia.</t>
  </si>
  <si>
    <t>10.3390/su141811276</t>
  </si>
  <si>
    <t>Das, Bhriguram; Ghosh, Avijit; Dorairaj, Dorothy Priyanka; Dolai, Malay; Karvembu, Ramasamy; Mabhai, Subhabrata; Im, Hyunsik; Dey, Satyajit; Jana, Atanu; Misra, Ajay</t>
  </si>
  <si>
    <t>Multiple ion (Al3+, Cr3+, Fe3+, and Cu2+) sensing using a cell-compatible rhodamine-phenolphthalein-derived Schiff-base probe</t>
  </si>
  <si>
    <t>[Das, Bhriguram; Misra, Ajay] Vidyasagar Univ, Dept Chem, Midnapore 721102, W Bengal, India; [Das, Bhriguram; Dey, Satyajit] Tamralipta Mahavidyalaya, Dept Chem, Purba Medinipur 721636, W Bengal, India; [Ghosh, Avijit] Univ Calcutta, Ctr Res Nanosci &amp; Nanotechnol, Technol Campus, Kolkata 700106, W Bengal, India; [Dorairaj, Dorothy Priyanka; Karvembu, Ramasamy] Natl Inst Technol, Dept Chem, Tiruchirappalli 620015, India; [Dolai, Malay] Prabhat Kumar Coll, Dept Chem, Contai 721404, Purba Medinipur, India; [Mabhai, Subhabrata] Mahishadal Raj Coll, Dept Chem, Mahishadal 721628, Purba Medinipur, India; [Im, Hyunsik; Jana, Atanu] Dongguk Univ, Div Phys &amp; Semicond Sci, Seoul 04620, South Korea</t>
  </si>
  <si>
    <t>Vidyasagar University; University of Calcutta; National Institute of Technology (NIT System); National Institute of Technology Tiruchirappalli; Dongguk University</t>
  </si>
  <si>
    <t>Misra, A (corresponding author), Vidyasagar Univ, Dept Chem, Midnapore 721102, W Bengal, India.;Dey, S (corresponding author), Tamralipta Mahavidyalaya, Dept Chem, Purba Medinipur 721636, W Bengal, India.;Jana, A (corresponding author), Dongguk Univ, Div Phys &amp; Semicond Sci, Seoul 04620, South Korea.</t>
  </si>
  <si>
    <t>10.1016/j.molliq.2022.118824</t>
  </si>
  <si>
    <t>Tao, Hai; Al-Aragi, Nawfel M. H.; Ahmadianfar, Iman; Naser, Maryam H.; Shehab, Rania H.; Zain, Jasni Mohamad; Halder, Bijay; Yaseen, Zaher Mundher</t>
  </si>
  <si>
    <t>Ranked-based mechanism-assisted Biogeography optimization: Application of global optimization problems</t>
  </si>
  <si>
    <t>ADVANCES IN ENGINEERING SOFTWARE</t>
  </si>
  <si>
    <t>[Tao, Hai] Qiannan Normal Univ Nationalities, Sch Comp &amp; Informat, Duyun 558000, Guizhou, Peoples R China; [Tao, Hai] Key Lab Complex Syst &amp; Intelligent Optimizat Guizh, Duyun 558000, Peoples R China; [Tao, Hai; Zain, Jasni Mohamad] Univ Teknol MARA, Inst Big Data Anal &amp; Artificial Intelligence IBDAA, Kompleks Al Khawarizmi, Shah Alam 40450, Selangor, Malaysia; [Al-Aragi, Nawfel M. H.] Univ Warith Al Anbiyaa, Coll Engn, Karbala, Iraq; [Ahmadianfar, Iman] Behbahan Khatam Alanbia Univ Technol, Dept Civil Engn, Behbahan, Iran; [Naser, Maryam H.] Al Mustaqbal Univ Coll, Bldg &amp; construction Tech Engn Dept, Hillah 51001, Iraq; [Shehab, Rania H.] Al Maarif Univ Coll, Civil Engn Dept, Anbar, Ramadi, Iraq; [Halder, Bijay] Vidyasagar Univ, Dept Remote Sensing &amp; GIS, Midnapore 721102, India; [Yaseen, Zaher Mundher] King Fahd Univ Petr &amp; Minerals, Civil &amp; Environm Engn Dept, Dhahran 31261, Saudi Arabia</t>
  </si>
  <si>
    <t>Qiannan Normal University of Nationalities; Universiti Teknologi MARA; University of Warith Alanbiyaa; Al-Mustaqbal University College; Al-Maarif University; Vidyasagar University; King Fahd University of Petroleum &amp; Minerals</t>
  </si>
  <si>
    <t>Yaseen, ZM (corresponding author), King Fahd Univ Petr &amp; Minerals, Civil &amp; Environm Engn Dept, Dhahran 31261, Saudi Arabia.</t>
  </si>
  <si>
    <t>0965-9978</t>
  </si>
  <si>
    <t>1873-5339</t>
  </si>
  <si>
    <t>10.1016/j.advengsoft.2022.103301</t>
  </si>
  <si>
    <t>Computer Science, Interdisciplinary Applications; Computer Science, Software Engineering; Engineering, Multidisciplinary</t>
  </si>
  <si>
    <t>Nesa, Jannatun; Jana, Swapan Kumar; Sadat, Abdul; Biswas, Kinkar; Kati, Ahmet; Kaya, Ozge; Mondal, Rittick; Dam, Paulami; Thakur, Mintu; Kumar, Anoop; Hossain, Maidul; Lima, Lucas R.; Rezende, Samilla B.; Bhattacharjya, Debjoy; Gangopadhyay, Debnirmalya; Ghorai, Suvankar; Altuntas, Sevde; Panda, Amiya Kumar; Chakrabarti, Pinak; Swarnakar, Shambhu; Chakraborty, Joydeep; Yilmaz, Berfin; Macedo, Maria L. R.; Franco, Octavio L.; Cardoso, Marlon H.; Mandal, Amit Kumar</t>
  </si>
  <si>
    <t>Antimicrobial potential of a ponericin-like peptide isolated from Bombyx mori L. hemolymph in response to Pseudomonas aeruginosa infection</t>
  </si>
  <si>
    <t>[Nesa, Jannatun; Mondal, Rittick; Dam, Paulami; Mandal, Amit Kumar] Raiganj Univ, Dept Sericulture, Chem Biol Lab, North Dinajpur 733134, India; [Jana, Swapan Kumar; Chakrabarti, Pinak] Bose Inst, Dept Biochem, P1-12 CIT Scheme, Kolkata 700054, India; [Sadat, Abdul] Raiganj Univ, Dept Sericulture, Insect Ecol &amp; Conservat Biol Lab, North Dinajpur 733134, India; [Biswas, Kinkar; Thakur, Mintu] Raiganj Univ, Dept Chem, Lab Organ Synth, North Dinajpur 733134, India; [Kati, Ahmet; Altuntas, Sevde; Yilmaz, Berfin] Univ Hlth Sci, Expt Med Res &amp; Applicat Ctr, Validebag Res Pk, TR-34662 Istanbul, Turkey; [Kaya, Ozge] TERRA Anal &amp; Measurement Device Tic Inc, Istanbul, Turkey; [Kumar, Anoop; Cardoso, Marlon H.] North Bengal Univ, Dept Biotechnol, ANMOL Lab, Darjeeling 734013, India; [Hossain, Maidul; Panda, Amiya Kumar] Vidyasagar Univ, Dept Chem &amp; Chem Technol, Midnapore 721102, India; [Lima, Lucas R.; Rezende, Samilla B.; Franco, Octavio L.] Univ Catolica Dom Bosco UCDB, Programa Posgrad Biotecnol, S Inova Biotech, BR-79117900 Campo Grande, MS, Brazil; [Bhattacharjya, Debjoy] Raiganj Univ, Dept Sericulture, Silkworm Rearing Technol &amp; Extens Lab, North Dinajpur 733134, W Bengal, India; [Gangopadhyay, Debnirmalya] Raiganj Univ, Dept Sericulture, Silkworm Genet &amp; Breeding Lab, North Dinajpur 733134, India; [Ghorai, Suvankar; Chakraborty, Joydeep] Raiganj Univ, Dept Microbiol, North Dinajpur 733134, India; [Swarnakar, Shambhu] Raiganj Univ, Dept Bot, North Dinajpur 733134, India; [Macedo, Maria L. R.; Cardoso, Marlon H.] Univ Fed Mato Grosso do Sul UFMS, Lab Purificacao Prot &amp; Suas Funcoes Biol, Cidade Univ, BR-79070900 Campo Grande, MS, Brazil; [Franco, Octavio L.; Cardoso, Marlon H.] Univ Catolica Brasilia UCB, Programa Posgrad Ciencias Genom &amp; Biotecnol, Ctr Anal Proteom &amp; Bioquim, BR-70790160 Brasilia, DF, Brazil; [Mandal, Amit Kumar] Raiganj Univ, Ctr Nanotehnol Sci CeNS, North Dinajpur 733134, India</t>
  </si>
  <si>
    <t>Department of Science &amp; Technology (India); Bose Institute; University of North Bengal; Vidyasagar University; Universidade Catolica Dom Bosco (UCDB); Universidade Federal de Mato Grosso do Sul</t>
  </si>
  <si>
    <t>Mandal, AK (corresponding author), Raiganj Univ, Dept Sericulture, Chem Biol Lab, North Dinajpur 733134, India.;Cardoso, MH (corresponding author), North Bengal Univ, Dept Biotechnol, ANMOL Lab, Darjeeling 734013, India.;Cardoso, MH (corresponding author), Univ Fed Mato Grosso do Sul UFMS, Lab Purificacao Prot &amp; Suas Funcoes Biol, Cidade Univ, BR-79070900 Campo Grande, MS, Brazil.;Cardoso, MH (corresponding author), Univ Catolica Brasilia UCB, Programa Posgrad Ciencias Genom &amp; Biotecnol, Ctr Anal Proteom &amp; Bioquim, BR-70790160 Brasilia, DF, Brazil.;Mandal, AK (corresponding author), Raiganj Univ, Ctr Nanotehnol Sci CeNS, North Dinajpur 733134, India.</t>
  </si>
  <si>
    <t>10.1038/s41598-022-19450-8</t>
  </si>
  <si>
    <t>Jana, C; Garg, H; Pal, M; Sarkar, B; Wei, GW</t>
  </si>
  <si>
    <t>Jana, Chiranjibe; Garg, Harish; Pal, Madhumangal; Sarkar, Biswajit; Wei, Guiwu</t>
  </si>
  <si>
    <t>MABAC framework for logarithmic bipolar fuzzy multiple attribute group decision-making for supplier selection</t>
  </si>
  <si>
    <t>Bipolar fuzzy numbers; Logarithmic aggregation operators; Bipolar MABAC approach; Multi-attribute group decision-making (MAGDM); Supplier selection</t>
  </si>
  <si>
    <t>AGGREGATION OPERATORS; INTUITIONISTIC FUZZY; SYSTEM; TODIM; SET</t>
  </si>
  <si>
    <t>In this article, we introduce logarithmic operations on bipolar fuzzy numbers (BFNs). We present some new operators based on these operations, namely, the logarithm bipolar fuzzy weighted averaging (L-BFWA) operator, logarithm bipolar fuzzy ordered weighted averaging (L-BFOWA) operator, and logarithm bipolar fuzzy weighted geometric (L-BFWG) operator, and logarithm bipolar fuzzy ordered weighted geometric (L-BFOWG) operator. Further, develop a multi-attribute group decision-making (MAGDM) methodology model based on logarithm bipolar fuzzy weighted averaging operator and logarithm bipolar fuzzy weighted geometric operators. To justify the proposed model's efficiency, MABAC (the multiple attribute border approximation area comparison) methods are applied to construct MAGDM with BFNs established on proposed operators. To demonstrate the proposed approach's materiality and efficiency, use the proposed method to solve supply chain management by considering numerical examples for supplier selection. The selection of suppliers is investigated by aggregation operators to verify the MABAC technique. The presented method is likened to some existing accumulation operators to study the feasibility and applicability of the proposed model. We concluded that the proposed model is accurate, effective, and reliable.</t>
  </si>
  <si>
    <t>[Jana, Chiranjibe; Pal, Madhumangal] Vidyasagar Univ, Dept Appl Math Oceanol &amp; Comp Programming, Midnapore 721102, India; [Garg, Harish] Thapar Inst Engn &amp; Technol Deemed Univ, Sch Math, Patiala 147004, Punjab, India; [Garg, Harish] Graph Era Deemed Univ, Dept Math, Dehra Dun 248002, Uttarakhand, India; [Garg, Harish] Appl Sci Private Univ, Appl Sci Res Ctr, Amman 11931, Jordan; [Sarkar, Biswajit] Yonsei Univ, Dept Ind Engn, Seoul 03722, South Korea; [Sarkar, Biswajit] Saveetha Univ, Saveetha Inst Med &amp; Tech Sci, Saveetha Dent Coll, Ctr Transdisciplinary Res CFTR, Chennai 600077, Tamil Nadu, India; [Wei, Guiwu] Sichuan Normal Univ, Sch Math Sci, Chengdu 610101, Peoples R China</t>
  </si>
  <si>
    <t>Vidyasagar University; Thapar Institute of Engineering &amp; Technology; Graphic Era University; Yonsei University; Saveetha Institute of Medical &amp; Technical Science; Saveetha Dental College &amp; Hospital; Sichuan Normal University</t>
  </si>
  <si>
    <t>Sarkar, B (corresponding author), Yonsei Univ, Dept Ind Engn, Seoul 03722, South Korea.;Sarkar, B (corresponding author), Saveetha Univ, Saveetha Inst Med &amp; Tech Sci, Saveetha Dent Coll, Ctr Transdisciplinary Res CFTR, Chennai 600077, Tamil Nadu, India.</t>
  </si>
  <si>
    <t>10.1007/s40747-023-01108-1</t>
  </si>
  <si>
    <t>Nandi, Utpal; Roy, Swalpa Kumar; Hong, Danfeng; Wu, Xin; Chanussot, Jocelyn</t>
  </si>
  <si>
    <t>TAttMSRecNet:Triplet-attention and multiscale reconstruction network for band selection in hyperspectral images</t>
  </si>
  <si>
    <t>[Nandi, Utpal] Vidyasagar Univ, Dept Comp Sci, Paschim Medinipur 721102, West Bengal, India; [Roy, Swalpa Kumar] Jalpaiguri Govt Engn Coll, Dept Comp Sci &amp; Engn, Jalpaiguri, West Bengal, India; [Hong, Danfeng] Chinese Acad Sci, Key Lab Computat Opt Imaging Technol, Aerosp Informat Res Inst, Beijing 100094, Peoples R China; [Wu, Xin] Beijing Univ Posts &amp; Telecommun, Sch Comp Sci, Natl Pilot Software Engn Sch, Beijing 100876, Peoples R China; [Chanussot, Jocelyn] Univ Grenoble Alpes, INRIA, CNRS, Grenoble INP,LJK, F-38000 Grenoble, France</t>
  </si>
  <si>
    <t>Vidyasagar University; Jalpaiguri Government Engineering College; Chinese Academy of Sciences; Aerospace Information Research Institute, CAS; Beijing University of Posts &amp; Telecommunications; Communaute Universite Grenoble Alpes; Universite Grenoble Alpes (UGA); Institut National Polytechnique de Grenoble; Inria; Centre National de la Recherche Scientifique (CNRS)</t>
  </si>
  <si>
    <t>10.1016/j.eswa.2022.118797</t>
  </si>
  <si>
    <t>Roy, Sourav; Ghosh, Prithwi; Bandyopadhyay, Abhirup; Basu, Sankar</t>
  </si>
  <si>
    <t>Capturing a Crucial 'Disorder-to-Order Transition' at the Heart of the Coronavirus Molecular Pathology-Triggered by Highly Persistent, Interchangeable Salt-Bridges</t>
  </si>
  <si>
    <t>VACCINES</t>
  </si>
  <si>
    <t>[Roy, Sourav] East Carolina Univ, Brody Sch Med, Dept Microbiol &amp; Immunol, Greenville, NC 27834 USA; [Ghosh, Prithwi] Vidyasagar Univ, Dept Bot, Narajole Raj Coll, Midnapore 721211, India; [Bandyopadhyay, Abhirup] Aix Marseille Univ, Inst Neurosci Syst, Theoret Neurosci Grp, F-13005 Marseille, France; [Bandyopadhyay, Abhirup] Univ Amsterdam, Cognit &amp; Syst Neurosci Grp, NL-1098 Amsterdam, Netherlands; [Basu, Sankar] Univ Calcutta, Asutosh Coll, Dept Microbiol, 92 Shyama Prasad Mukherjee Rd, Kolkata 700026, India</t>
  </si>
  <si>
    <t>University of North Carolina; East Carolina University; Vidyasagar University; Aix-Marseille Universite; Assistance Publique-Hopitaux de Marseille; Institut National de la Sante et de la Recherche Medicale (Inserm); University of Amsterdam; University of Calcutta</t>
  </si>
  <si>
    <t>2076-393X</t>
  </si>
  <si>
    <t>10.3390/vaccines10020301</t>
  </si>
  <si>
    <t>Immunology; Medicine, Research &amp; Experimental</t>
  </si>
  <si>
    <t>Immunology; Research &amp; Experimental Medicine</t>
  </si>
  <si>
    <t>Green Submitted, gold, Green Published</t>
  </si>
  <si>
    <t>Pakrashy, Sourav; Mandal, Prakash K.; Dey, Surya Kanta; Choudhury, Sujata Maiti; Alasmary, Fatmah Ali; Almalki, Amani Salem; Islam, Md Ataul; Dolai, Malay</t>
  </si>
  <si>
    <t>Design of a Structurally Novel Multipotent Drug Candidate by the Scaffold Architecture Technique for ACE-II, NSP15, and Mpro Protein Inhibition: Identification and Isolation of a Natural Product to Prevent the Severity of Future Variants of Covid 19 and a Colorectal Anticancer Drug</t>
  </si>
  <si>
    <t>[Pakrashy, Sourav; Dolai, Malay] Prabhat Kumar Coll, Dept Chem, Purba Medinipur 721404, West Bengal, India; [Mandal, Prakash K.] Univ Calcutta, Dept Chem, Kolkata 700003, West Bengal, India; [Dey, Surya Kanta; Choudhury, Sujata Maiti] Vidyasagar Univ, Dept Human Physiol, Biochem,Mol Endocrinol &amp; Reprod Physiol Lab, Midnapore 721102, West Bengal, India; [Alasmary, Fatmah Ali; Almalki, Amani Salem] King Saud Univ, Coll Sci, Dept Chem, Riyadh 11451, Saudi Arabia; [Islam, Md Ataul] Univ Manchester, Fac Biol, Sch Hlth Sci, Div Pharm &amp; optometry,Med &amp; Hlth, Manchester M13 9PL, England</t>
  </si>
  <si>
    <t>University of Calcutta; Vidyasagar University; King Saud University; University of Manchester</t>
  </si>
  <si>
    <t>Dolai, M (corresponding author), Prabhat Kumar Coll, Dept Chem, Purba Medinipur 721404, West Bengal, India.</t>
  </si>
  <si>
    <t>10.1021/acsomega.2c04051</t>
  </si>
  <si>
    <t>Si, Tapas; Bhattacharya, Debolina; Nayak, Somen; Miranda, Pericles B. C.; Nandi, Utpal; Mallik, Saurav; Maulik, Ujjwal; Qin, Hong</t>
  </si>
  <si>
    <t>PCOBL: A Novel Opposition-Based Learning Strategy to Improve Metaheuristics Exploration and Exploitation for Solving Global Optimization Problems</t>
  </si>
  <si>
    <t>[Si, Tapas] Univ Engn &amp; Management, Dept Comp Sci &amp; Engn, Jaipur 303807, Rajasthan, India; [Bhattacharya, Debolina] Sarala Birla Univ, Dept Comp Sci &amp; Engn, Ranchi 835103, Jharkhand, India; [Nayak, Somen] Univ Engn &amp; Management, Dept Comp Applicat, Jaipur 303807, Rajasthan, India; [Miranda, Pericles B. C.] Univ Fed Rural Pernambuco UFRPE, Dept Comp DC, BR-52171900 Recife, Brazil; [Nandi, Utpal] Vidyasagar Univ, Dept Comp Sci, Paschim Medinipur 721102, W Bengal, India; [Mallik, Saurav] Harvard TH Chan Sch Publ Hlth, Dept Environm Hlth, Boston, MA 02115 USA; [Maulik, Ujjwal] Jadavpur Univ, Dept Comp Sci &amp; Engn, Kolkata 700032, India; [Qin, Hong] Univ Tennessee, Dept Comp Sci &amp; Engn, Chattanooga, TN 37403 USA</t>
  </si>
  <si>
    <t>Universidade Federal Rural de Pernambuco (UFRPE); Vidyasagar University; Harvard University; Harvard T.H. Chan School of Public Health; Jadavpur University; University of Tennessee System; University of Tennessee at Chattanooga</t>
  </si>
  <si>
    <t>Mallik, S (corresponding author), Harvard TH Chan Sch Publ Hlth, Dept Environm Hlth, Boston, MA 02115 USA.;Qin, H (corresponding author), Univ Tennessee, Dept Comp Sci &amp; Engn, Chattanooga, TN 37403 USA.</t>
  </si>
  <si>
    <t>10.1109/ACCESS.2023.3273298</t>
  </si>
  <si>
    <t>Bera, D; Chatterjee, ND; Dinda, S; Ghosh, S; Dhiman, V; Bashir, B; Calka, B; Zhran, M</t>
  </si>
  <si>
    <t>Bera, Dipankar; Chatterjee, Nilanjana Das; Dinda, Santanu; Ghosh, Subrata; Dhiman, Vivek; Bashir, Bashar; Calka, Beata; Zhran, Mohamed</t>
  </si>
  <si>
    <t>Assessment of Carbon Stock and Sequestration Dynamics in Response to Land Use and Land Cover Changes in a Tropical Landscape</t>
  </si>
  <si>
    <t>LULC changes; carbon pools; Land Change Modeler (LCM); Ecosystem Services Modeler (ESM); carbon sequestration; economic valuation</t>
  </si>
  <si>
    <t>SYSTEMS ENHANCE BIODIVERSITY; ABOVEGROUND BIOMASS; RANDOM FORESTS; WOOD DENSITY; PATTERNS; MODEL; CLASSIFICATION; DEFORESTATION; DEGRADATION; BALANCE</t>
  </si>
  <si>
    <t>Quantitative analysis of LULC changes and their effects on carbon stock and sequestration is important for mitigating climate change. Therefore, this study examines carbon stock and sequestration in relation to LULC changes using the Land Change Modeler (LCM) and Ecosystem Services Modeler (ESM) in tropical dry deciduous forests of West Bengal, India. The LULC for 2006, 2014, and 2021 were classified using Google Earth Engine (GEE), while LULC changes and predictions were analyzed using LCM. Carbon stock and sequestration for present and future scenarios were estimated using ESM. The highest carbon was stored in forest land (124.167 Mg/ha), and storage outside the forest declined to 13.541 Mg/ha for agricultural land and 0-8.123 Mg/ha for other lands. Carbon stock and economic value decreased from 2006 to 2021, and are likely to decrease further in the future. Forest land is likely to contribute to 94% of future carbon loss in the study region, primarily due to its conversion into agricultural land. The implementation of multiple-species plantations, securing tenure rights, proper management practices, and the strengthening of forest-related policies can enhance carbon stock and sequestration. These spatial-temporal insights will aid in management strategies, and the methodology can be applied to broader contexts.</t>
  </si>
  <si>
    <t>[Bera, Dipankar; Chatterjee, Nilanjana Das; Dinda, Santanu; Ghosh, Subrata] Vidyasagar Univ, Dept Geog, Midnapore 721102, India; [Dhiman, Vivek] CSIR, Inst Himalayan Bioresource Technol, Environm Technol Div, RS GIS Lab, Palampur 176061, Himachal Prades, India; [Bashir, Bashar] King Saud Univ, Coll Engn, Dept Civil Engn, POB 800, Riyadh 11421, Saudi Arabia; [Calka, Beata] Mil Univ Technol, Inst Geospatial Engn &amp; Geodesy, Fac Civil Engn &amp; Geodesy, PL-00908 Warsaw, Poland; [Zhran, Mohamed] Mansoura Univ, Fac Engn, Publ Works Engn Dept, Mansoura 35516, Egypt</t>
  </si>
  <si>
    <t>Vidyasagar University; Council of Scientific &amp; Industrial Research (CSIR) - India; CSIR - Institute of Himalayan Bioresource Technology (IHBT); King Saud University; Military University of Technology in Warsaw; Egyptian Knowledge Bank (EKB); Mansoura University</t>
  </si>
  <si>
    <t>Zhran, M (corresponding author), Mansoura Univ, Fac Engn, Publ Works Engn Dept, Mansoura 35516, Egypt.</t>
  </si>
  <si>
    <t>10.3390/land13101689</t>
  </si>
  <si>
    <t>Sultana, H; Mitra, M; Barai, M; Mandal, MK; Manna, E; Islam, M; Khan, IM; Bhaumik, P; Choudhury, MLH; Hossain, M; Patra, A; Panda, AK</t>
  </si>
  <si>
    <t>Sultana, Habiba; Mitra, Maitreyee; Barai, Manas; Mandal, Manas Kumar; Manna, Emili; Islam, Maidul; Khan, Ishaat M.; Bhaumik, Prabhash; Choudhury, Md. Lokman H.; Hossain, Maidul; Patra, Anuttam; Panda, Amiya Kumar</t>
  </si>
  <si>
    <t>Interfacial and aggregation behavior of ionic liquid-bile salt conjugates</t>
  </si>
  <si>
    <t>COLLOIDS AND SURFACES A-PHYSICOCHEMICAL AND ENGINEERING ASPECTS</t>
  </si>
  <si>
    <t>Ionic liquid; Bile salt; Adsorption; Micellization; Aggregation; SAIL</t>
  </si>
  <si>
    <t>SODIUM DODECYL-SULFATE; IMIDAZOLIUM; MICELLE; MICROEMULSIONS; TOXICITY; BROMIDE; CATIONS; SYSTEMS; FTIR</t>
  </si>
  <si>
    <t>Bile salt derived nontoxic surface-active ionic liquids (SAILs), 1-butyl-3-methylimidazolium cholate ([bmim]C) and deoxycholate ([bmim]DC) were synthesized by reacting [bmim] tetrafluoroborate separately with sodium cholate (NaC) and sodium deoxycholate (NaDC) which were subsequently characterized by FTIR, 1 H-NMR, 13 C- NMR, HRMS, PXRD, and TGA-DTA studies. Interfacial and aggregation behavior of the SAILs were assessed by surface tension, conductance, pyrene fluorescence, dynamic light scattering, and isothermal titration calorimetric studies. Critical micelle concentration values were substantially lower than their precursor sodium salts. SAILs were less surface active than their corresponding sodium salts due to enhanced aqueous solubility induced by the ionic liquid cation. Both the aggregation number and size of the SAIL micelles were higher/larger where the SAIL micelles were more compact than NaC/NaDC. Exothermic changes in the enthalpy of micellization were higher for SAILs, where the micellization processes were found to be entropy driven. Such comprehensive studies can shed further light on the microstructure, besides the fundamental understanding on SAIL aggregation. The combined advantages of surfactant and ionic liquid in the SAILs can result in superior amphiphilic characteristics. Such nontoxic aggregates are capable to enhance the limited solubility of organic compounds in water besides their possible uses in catalysis, drug delivery, and energy storage, etc.</t>
  </si>
  <si>
    <t>[Sultana, Habiba; Mitra, Maitreyee; Barai, Manas; Mandal, Manas Kumar; Manna, Emili; Hossain, Maidul; Panda, Amiya Kumar] Vidyasagar Univ, Dept Chem, Midnapore 721102, W Bengal, India; [Manna, Emili] Vidyasagar Univ, Ctr Life Sci, Midnapore 721102, W Bengal, India; [Islam, Maidul; Khan, Ishaat M.] Aligarh Muslim Univ, Fac Sci, Dept Chem, Aligarh 202002, India; [Islam, Maidul] Lovely Profess Univ, Res &amp; Dev Cell, Phagwara 144411, Punjab, India; [Bhaumik, Prabhash; Choudhury, Md. Lokman H.] IIT Patna, Dept Chem, Patna 801103, Bihar, India; [Patra, Anuttam] Lulea Univ Technol, Chem Interfaces Grp, SE-97187 Lulea, Sweden</t>
  </si>
  <si>
    <t>Vidyasagar University; Vidyasagar University; Aligarh Muslim University; Lovely Professional University; Indian Institute of Technology System (IIT System); Indian Institute of Technology (IIT) - Patna; Lulea University of Technology</t>
  </si>
  <si>
    <t>0927-7757</t>
  </si>
  <si>
    <t>1873-4359</t>
  </si>
  <si>
    <t>COLLOID SURFACE A</t>
  </si>
  <si>
    <t>Colloid Surf. A-Physicochem. Eng. Asp.</t>
  </si>
  <si>
    <t>10.1016/j.colsurfa.2024.134127</t>
  </si>
  <si>
    <t>Jana, Chiranjibe; Dobrodolac, Momcilo; Simic, Vladimir; Pal, Madhumangal; Sarkar, Biswajit; Stevie, Zeljko</t>
  </si>
  <si>
    <t>Evaluation of sustainable strategies for urban parcel delivery: Linguistic q-rung orthopair fuzzy Choquet integral approach</t>
  </si>
  <si>
    <t>[Jana, Chiranjibe; Pal, Madhumangal] Vidyasagar Univ, Dept Appl Math Oceanol &amp; Comp Programming, Midnapore 721102, India; [Dobrodolac, Momcilo; Simic, Vladimir] Univ Belgrade, Fac Transport &amp; Traff Engn, Vojvode Stepe 305, Belgrade 11010, Serbia; [Simic, Vladimir] Yuan Ze Univ, Coll Engn, Dept Ind Engn &amp; Management, Yuandong Rd, Taoyuan City 320315, Taiwan; [Sarkar, Biswajit] Yonsei Univ, Dept Ind Engn, 50 Yonsei Ro, Seoul 03722, South Korea; [Sarkar, Biswajit] Saveetha Univ, Saveetha Inst Med &amp; Tech Sci, Saveetha Med Coll, Ctr Global Hlth Res, Chennai 600077, Tamil Nadu, India; [Stevie, Zeljko] Univ East Sarajevo, Fac Transport &amp; Engn, Nemanjina 52-3, Doboj 74000, Bosnia &amp; Herceg</t>
  </si>
  <si>
    <t>Vidyasagar University; University of Belgrade; Yuan Ze University; Yonsei University; Saveetha Institute of Medical &amp; Technical Science; Saveetha Medical College &amp; Hospital; University of East Sarajevo</t>
  </si>
  <si>
    <t>10.1016/j.engappai.2023.106811</t>
  </si>
  <si>
    <t>Pakrashy, S; Chakraborty, S; Manna, S; Goswami, JN; Bhattacharya, B; Emmerling, F; Mandal, J; Misra, S; Choudhury, SM; Okla, MK; Bose, A; Maurya, PK; Majhi, A; Dolai, M</t>
  </si>
  <si>
    <t>Pakrashy, Sourav; Chakraborty, Souvik; Manna, Sounik; Nanda Goswami, Juli; Bhattacharya, Biswajit; Emmerling, Franziska; Mandal, Jishu; Misra, Sourav; Maiti Choudhury, Sujata; Okla, Mohammad K.; Bose, Adity; Maurya, Pawan Kumar; Majhi, Anjoy; Dolai, Malay</t>
  </si>
  <si>
    <t>Inhibition of Human Colorectal Cancer by a Natural Product 7-Acetylhorminone and Interactions with BSA/HSA: Multispectral Analysis and In Silico and In Vitro Studies</t>
  </si>
  <si>
    <t>Molecular docking; in situ synthesis; ADMET; interactions of serum albumins; fluorescencetitration; MTT assay and oxidative stress study</t>
  </si>
  <si>
    <t>ISOTHERMAL TITRATION CALORIMETRY; BREAST-CANCER; EGFR EXPRESSION; BINDING; DOXORUBICIN; DELIVERY; NANOPARTICLES; FLUORESCENCE; RESISTANCE; ACCURACY</t>
  </si>
  <si>
    <t>We have semi-synthesized a natural product 7-acetylhorminone from crude extract of Premna obtusifolia (Indian headache tree), which is active against colorectal cancer after probation through computational screening methods as it passed through the set parameters of pharmacokinetics (most important nonblood-brain barrier permeant) and drug likeliness (e.g., Lipinski's, Ghose's, Veber's rule) which most other phytoconstituents failed to pass combined with docking with EGFR protein which is highly upregulated in the colorectal carcinoma cell. The structure of 7-acetylhorminone was confirmed by single crystal X-ray diffraction studies and H-1 NMR, C-13 NMR, and COSY studies. To validate the theoretical studies, first, in vitro experiments were carried out against human colorectal carcinoma cell lines (HCT116) which revealed the potent cytotoxic efficacy of 7-acetylhorminone and verified preliminary investigation. Second, the drugability of 7-acetylhorminone interaction with serum albumin proteins (HSA and BSA) is evaluated both theoretically and experimentally via steady-state fluorescence spectroscopic studies, circular dichroism, isothermal titration calorimetry, and molecular docking. In summary, this study reveals the applicability of 7-acetylhorminone as a potent drug candidate or as a combinatorial drug against colorectal cancer.</t>
  </si>
  <si>
    <t>[Pakrashy, Sourav; Nanda Goswami, Juli; Dolai, Malay] Prabhat Kumar Coll, Dept Chem, Purba Medinipur 721404, W Bengal, India; [Pakrashy, Sourav; Misra, Sourav; Bose, Adity; Majhi, Anjoy] Presidency Univ, Dept Chem, Kolkata 700073, India; [Chakraborty, Souvik] Bhairab Ganguly Coll, Dept Physiol, Kolkata 700056, W Bengal, India; [Manna, Sounik; Maiti Choudhury, Sujata] Vidyasagar Univ, Dept Human Physiol, Biochem Mol Endocrinol &amp; Reprod Physiol Lab, Midnapore 721102, W Bengal, India; [Bhattacharya, Biswajit; Emmerling, Franziska] BAM Fed Inst Mat Res &amp; Testing, D-12489 Berlin, Germany; [Mandal, Jishu] CSIR Indian Inst Chem Biol, Organ &amp; Med Chem Div, Kolkata 700032, India; [Okla, Mohammad K.] King Saud Univ, Coll Sci, Bot &amp; Microbiol Dept, Riyadh 11451, Saudi Arabia; [Maurya, Pawan Kumar] Indian Council Med Res, Ctr Ageing &amp; Mental Hlth, Div Noncommunicable Dis, Kolkata 700091, India</t>
  </si>
  <si>
    <t>Presidency University, Kolkata; Vidyasagar University; Federal Institute for Materials Research &amp; Testing; Council of Scientific &amp; Industrial Research (CSIR) - India; CSIR - Indian Institute of Chemical Biology (IICB); King Saud University; Indian Council of Medical Research (ICMR)</t>
  </si>
  <si>
    <t>Dolai, M (corresponding author), Prabhat Kumar Coll, Dept Chem, Purba Medinipur 721404, W Bengal, India.;Majhi, A (corresponding author), Presidency Univ, Dept Chem, Kolkata 700073, India.</t>
  </si>
  <si>
    <t>APR 30</t>
  </si>
  <si>
    <t>10.1021/acsabm.4c00335</t>
  </si>
  <si>
    <t>Azam, M; Jana, C; Khan, MSA; Pal, M; Xin, Q; Yang, SL; Sarkar, B</t>
  </si>
  <si>
    <t>Azam, Muhammad; Jana, Chiranjibe; Khan, Muhammad Sajjad Ali; Pal, Madhumangal; Xin, Qin; Yang, Shilin; Sarkar, Biswajit</t>
  </si>
  <si>
    <t>Multi-criteria Radio Frequency Identification Approach for Manufacturing Company Selection Based on Partitioned Maclaurin Symmetric Mean Operators Under Complex Intuitionistic Fuzzy Set Environment</t>
  </si>
  <si>
    <t>Complex intuitionistic fuzzy sets (CIFS); CIFPMSM operators; CIFWPMSM operator; Multi-criteria decision making (MCDM) method</t>
  </si>
  <si>
    <t>NONLINEAR-SYSTEMS; PRESCRIBED PERFORMANCE; TRACKING CONTROL</t>
  </si>
  <si>
    <t>The theory of intuitionistic fuzzy sets (IFSs) plays an essential role to deal with uncertainty and ambiguity. However, the IFSs deal only with anticipation, not periodicity. But, complex IFSs (CIFS) can handle both uncertainties and periodicity at a time. Therefore, this paper focuses on a new multi-criteria decision making (MCDM) approach using Maclaurin symmetric mean (MSM) operator in connection with the CIFS setting. Then, we develop some CIF partitioned based MSM (CIFPMSM) operators and their weighted form by considering that all the criteria can be arranged into some groups. The proposed operators not only deal with the interrelationship among criteria but also deal with the partitioned relationship among criteria. We discuss the properties of these proposed operators and investigate their cases. Finally, a decision-making approach for radio frequency identification (RFID) for manufacturing companies is developed based on the proposed operators and compared the results with the existing method to show the application and feasibility of the proposed method.</t>
  </si>
  <si>
    <t>[Azam, Muhammad; Yang, Shilin] Beijing Univ Technol, Fac Sci, Beijing 100022, Peoples R China; [Pal, Madhumangal] Vidyasagar Univ, Dept Appl Math Oceanol &amp; Comp Programming, Midnapore 721102, India; [Khan, Muhammad Sajjad Ali] Khushal Khan Khattak Univ Karak, Dept Math, Karak 27200, Khyber Pakhtunk, Pakistan; [Xin, Qin] Univ Faroe Isl, Fac Sci &amp; Technol, Torshavn, Faroe Islands; [Sarkar, Biswajit] Yonsei Univ, Dept Ind Engn, 50 Yonsei Ro, Seoul 03722, South Korea; [Sarkar, Biswajit] Saveetha Univ, Saveetha Inst Med &amp; Tech Sci, Saveetha Med Coll, Ctr Global Hlth Res, Chennai 600077, Tamil Nadu, India; [Sarkar, Biswajit] Natl Taipei Univ Technol, Dept Ind Engn &amp; Management, Taipei City 106344, Taiwan; [Jana, Chiranjibe] Saveetha Inst Med &amp; Tech Sci SIMATS, Saveetha Sch Engn, Chennai 602105, India</t>
  </si>
  <si>
    <t>Beijing University of Technology; Vidyasagar University; Yonsei University; Saveetha Institute of Medical &amp; Technical Science; Saveetha Medical College &amp; Hospital; National Taipei University of Technology; Saveetha Institute of Medical &amp; Technical Science; Saveetha School of Engineering</t>
  </si>
  <si>
    <t>Sarkar, B (corresponding author), Yonsei Univ, Dept Ind Engn, 50 Yonsei Ro, Seoul 03722, South Korea.;Sarkar, B (corresponding author), Saveetha Univ, Saveetha Inst Med &amp; Tech Sci, Saveetha Med Coll, Ctr Global Hlth Res, Chennai 600077, Tamil Nadu, India.;Sarkar, B (corresponding author), Natl Taipei Univ Technol, Dept Ind Engn &amp; Management, Taipei City 106344, Taiwan.</t>
  </si>
  <si>
    <t>10.1007/s40815-023-01583-1</t>
  </si>
  <si>
    <t>Mahapatra, R; Samanta, S; Pal, M; Allahviranloo, T; Kalampakas, A</t>
  </si>
  <si>
    <t>Mahapatra, Rupkumar; Samanta, Sovan; Pal, Madhumangal; Allahviranloo, Tofigh; Kalampakas, Antonios</t>
  </si>
  <si>
    <t>A Study on Linguistic Z-Graph and Its Application in Social Networks</t>
  </si>
  <si>
    <t>linguistic Z-graphs; fuzzy graphs; influential nodes; social networks; centrality measure</t>
  </si>
  <si>
    <t>This paper presents a comprehensive study of the linguistic Z-graph, which is a novel framework designed to analyze linguistic structures within social networks. By integrating concepts from graph theory and linguistics, the linguistic Z-graph provides a detailed understanding of language dynamics in online communities. This study highlights the practical applications of linguistic Z-graphs in identifying central nodes within social networks, which are crucial for online businesses in market capture and information dissemination. Traditional methods for identifying central nodes rely on direct connections, but social network connections often exhibit uncertainty. This paper focuses on using fuzzy theory, particularly linguistic Z-graphs, to address this uncertainty, offering more detailed insights compared to fuzzy graphs. Our study introduces a new centrality measure using linguistic Z-graphs, enhancing our understanding of social network structures.</t>
  </si>
  <si>
    <t>[Mahapatra, Rupkumar; Pal, Madhumangal] Vidyasagar Univ, Dept Appl Math, Midnapore 721102, West Bengal, India; [Samanta, Sovan] Western Caspian Univ, Dept Tech Sci, AZ-1001 Baku, Azerbaijan; [Samanta, Sovan] Tamralipta Mahavidyalaya, Dept Math, Tamluk 721636, West Bengal, India; [Samanta, Sovan; Allahviranloo, Tofigh] Istinye Univ, Res Ctr Performance &amp; Prod Anal, TR-34396 Istanbul, Turkiye; [Samanta, Sovan] Algebra Univ, Dept Tech Sci, Gradiscanska 24, Zagreb 10000, Croatia; [Pal, Madhumangal] Saveetha Inst Med &amp; Tech Sci, Saveetha Sch Engn, Dept Math &amp; Innovat, Chennai 602105, Tamilnadu, India; [Allahviranloo, Tofigh] Islamic Azad Univ, Quantum Technol Res Ctr QTRC, Sci &amp; Res Branch, Tehran 1477893855, Iran; [Kalampakas, Antonios] Amer Univ Middle East, Coll Engn &amp; Technol, Egaila 54200, Kuwait</t>
  </si>
  <si>
    <t>Vidyasagar University; Ministry of Education of Azerbaijan Republic; Western Caspian University; Istinye University; Saveetha Institute of Medical &amp; Technical Science; Saveetha School of Engineering; Islamic Azad University; American University of the Middle East</t>
  </si>
  <si>
    <t>Samanta, S (corresponding author), Western Caspian Univ, Dept Tech Sci, AZ-1001 Baku, Azerbaijan.;Samanta, S (corresponding author), Tamralipta Mahavidyalaya, Dept Math, Tamluk 721636, West Bengal, India.;Samanta, S (corresponding author), Istinye Univ, Res Ctr Performance &amp; Prod Anal, TR-34396 Istanbul, Turkiye.;Samanta, S (corresponding author), Algebra Univ, Dept Tech Sci, Gradiscanska 24, Zagreb 10000, Croatia.</t>
  </si>
  <si>
    <t>10.3390/math12182898</t>
  </si>
  <si>
    <t>Ghosh, Ria; Singh, Soumendra; Mukherjee, Dipanjan; Mondal, Susmita; Das, Monojit; Pal, Uttam; Adhikari, Aniruddha; Bhushan, Aman; Bose, Surajit; Bhattacharyya, Siddharth Sankar; Pal, Debasish; Saha-Dasgupta, Tanusri; Bhattacharyya, Maitree; Bhattacharyya, Debasis; Mallick, Asim Kumar; Das, Ranjan; Pal, Samir Kumar</t>
  </si>
  <si>
    <t>Host-Assisted Delivery of a Model Drug to Genomic DNA: Key Information from Ultrafast Spectroscopy and in silico Study</t>
  </si>
  <si>
    <t>[Ghosh, Ria; Mukherjee, Dipanjan; Mondal, Susmita; Adhikari, Aniruddha; Pal, Samir Kumar] SN Bose Natl Ctr Basic Sci, Dept Chem Biol &amp; Macromol Sci, Block JD,Sect 3, Kolkata 700106, India; [Ghosh, Ria; Bhattacharyya, Maitree] Univ Calcutta, Dept Biochem, 35 Ballygunge Circular Rd, Kolkata 700019, India; [Singh, Soumendra; Pal, Uttam; Saha-Dasgupta, Tanusri] SN Bose Natl Ctr Basic Sci, Tech Res Ctr, Block JD,Sect 3, Kolkata 700106, India; [Das, Monojit; Bhattacharyya, Siddharth Sankar; Pal, Debasish] Univ Calcutta, Dept Zool, Uluberia Coll, Howrah 711315, India; [Das, Monojit] Vidyasagar Univ, Dept Zool, Midnapore 721102, India; [Bhushan, Aman] Thapar Inst Engn &amp; Technol, Dept Biotechnol, Bhadson Rd, Patiala 147004, Punjab, India; [Bose, Surajit] KSDJ Dent Coll &amp; Hosp, Dept Oral &amp; Maxillofacial Pathol, Kolkata 700002, India; [Saha-Dasgupta, Tanusri] SN Bose Natl Ctr Basic Sci, Dept Condensed Matter Phys &amp; Mat Sci, Kolkata 700106, India; [Bhattacharyya, Debasis] Nil Ratan Sircar Med Coll &amp; Hosp, Dept Gynecol &amp; Obstet, 138 AJC Bose Rd, Kolkata 700014, India; [Mallick, Asim Kumar] Nil Ratan Sirkar Med Coll &amp; Hosp, Dept Pediat Med, Kolkata 700014, India; [Das, Ranjan] West Bengal State Univ, Dept Chem, Kolkata 700126, India</t>
  </si>
  <si>
    <t>Department of Science &amp; Technology (India); SN Bose National Centre for Basic Science (SNBNCBS); University of Calcutta; Department of Science &amp; Technology (India); SN Bose National Centre for Basic Science (SNBNCBS); University of Calcutta; Vidyasagar University; Thapar Institute of Engineering &amp; Technology; Department of Science &amp; Technology (India); SN Bose National Centre for Basic Science (SNBNCBS); West Bengal State University</t>
  </si>
  <si>
    <t>Pal, SK (corresponding author), SN Bose Natl Ctr Basic Sci, Dept Chem Biol &amp; Macromol Sci, Block JD,Sect 3, Kolkata 700106, India.;Das, R (corresponding author), West Bengal State Univ, Dept Chem, Kolkata 700126, India.</t>
  </si>
  <si>
    <t>10.1002/cbic.202200109</t>
  </si>
  <si>
    <t>Halder, Bijay; Tiyasha, Tiyasha; Shahid, Shamsuddin; Yaseen, Zaher Mundher</t>
  </si>
  <si>
    <t>Delineation of urban expansion and drought-prone areas using vegetation conditions and other geospatial indices</t>
  </si>
  <si>
    <t>[Halder, Bijay] Vidyasagar Univ, Dept Remote Sensing &amp; GIS, Midnapore, India; [Tiyasha, Tiyasha] Ton Duc Thang Univ, Fac Civil Engn, Ho Chi Minh City, Vietnam; [Shahid, Shamsuddin] Univ Teknol Malaysia UTM, Fac Engn, Sch Civil Engn, Johor Baharu 81310, Malaysia; [Yaseen, Zaher Mundher] Univ Kebangsaan Malaysia, Fac Sci &amp; Technol, Dept Earth Sci &amp; Environm, Bangi 43600, Selangor, Malaysia; [Yaseen, Zaher Mundher] Univ Southern Queensland, Sch Math Phys &amp; Comp, USQs Adv Data Analyt Res Grp, Toowoomba, Qld 4350, Australia; [Yaseen, Zaher Mundher] Al Ayen Univ, Sci Res Ctr, New Era &amp; Dev Civil Engn Res Grp, Thi Qar 64001, Iraq</t>
  </si>
  <si>
    <t>Vidyasagar University; Ton Duc Thang University; Universiti Teknologi Malaysia; Universiti Kebangsaan Malaysia; University of Southern Queensland; Al-Ayen University</t>
  </si>
  <si>
    <t>Yaseen, ZM (corresponding author), Univ Kebangsaan Malaysia, Fac Sci &amp; Technol, Dept Earth Sci &amp; Environm, Bangi 43600, Selangor, Malaysia.;Yaseen, ZM (corresponding author), Univ Southern Queensland, Sch Math Phys &amp; Comp, USQs Adv Data Analyt Res Grp, Toowoomba, Qld 4350, Australia.;Yaseen, ZM (corresponding author), Al Ayen Univ, Sci Res Ctr, New Era &amp; Dev Civil Engn Res Grp, Thi Qar 64001, Iraq.</t>
  </si>
  <si>
    <t>10.1007/s00704-022-04108-2</t>
  </si>
  <si>
    <t>Bera, Biswajit; Bhattacharjee, Sumana; Sengupta, Nairita; Shit, Pravat Kumar; Adhikary, Partha Pratim; Sengupta, Debashish; Saha, Soumik</t>
  </si>
  <si>
    <t>Significant reduction of carbon stocks and changes of ecosystem service valuation of Indian Sundarban</t>
  </si>
  <si>
    <t>[Bera, Biswajit; Saha, Soumik] Sidho Kanho Birsha Univ, Dept Geog, Ranchi Rd,PO Purulia Sainik Sch, Purulia 723104, India; [Bhattacharjee, Sumana] Univ Calcutta, Dept Geog, Jogesh Chandra Chaudhuri Coll, 30 Prince Anwar Shah Rd, Kolkata 700033, India; [Sengupta, Nairita] Diamond Harbour Womens Univ, Dept Geog, Sarisha 743368, India; [Shit, Pravat Kumar] Vidyasagar Univ, Raja Narendralal Khan Womens Coll Autonomous, PG Dept Geog, Midnapore 721102, India; [Adhikary, Partha Pratim] ICAR Indian Inst Water Management, Bhubaneswar 751023, Odisha, India; [Sengupta, Debashish] Indian Inst Technol IIT, Dept Geol &amp; Geophys, Kharagpur 721302, W Bengal, India</t>
  </si>
  <si>
    <t>University of Calcutta; Vidyasagar University; Indian Council of Agricultural Research (ICAR); ICAR - Indian Institute of Water Management; Indian Institute of Technology System (IIT System); Indian Institute of Technology (IIT) - Kharagpur; Indian Institute of Technology (IIT) - Madras</t>
  </si>
  <si>
    <t>Saha, S (corresponding author), Sidho Kanho Birsha Univ, Dept Geog, Ranchi Rd,PO Purulia Sainik Sch, Purulia 723104, India.</t>
  </si>
  <si>
    <t>10.1038/s41598-022-11716-5</t>
  </si>
  <si>
    <t>Zhao, R; Fan, CC; Arabameri, A; Santosh, M; Mohammad, L; Mondal, I</t>
  </si>
  <si>
    <t>Zhao, Rui; Fan, Chenchen; Arabameri, Alireza; Santosh, M.; Mohammad, Lal; Mondal, Ismail</t>
  </si>
  <si>
    <t>Groundwater spring potential mapping: Assessment the contribution of hydrogeological factors</t>
  </si>
  <si>
    <t>Groundwater; Hydrogeological investigation; AdaBoost-Hyperpipes; Hybrid models; Spatial modeling</t>
  </si>
  <si>
    <t>EVIDENTIAL BELIEF FUNCTION; SUSCEPTIBILITY ASSESSMENT; ARTIFICIAL-INTELLIGENCE; LOGISTIC-REGRESSION; RIVER-BASIN; GIS; PREDICTION; ENSEMBLE; SYSTEM; MODEL</t>
  </si>
  <si>
    <t>Groundwater, a fundamental asset, isn't effectively accessible in some parts of the world. The current research work pointed toward obtaining precise maps of potential groundwater zones. This study aimed for potential groundwater modeling and extracting the precise maps using four new advanced hybrid ML models (Dagging-HP, Bagging-HP, AdaBoost-HP, Decorate-HP) and one single model Hyperpipes (HP) in the Doji Watershed, situated in the eastern part of Golestan province, Iran. Among the selected models, the AdaBoost-HP model is the most efficient, with an AUC - ROC of 0.972, accuracy (0.922), sensitivity (0.906), and specificity (0.938), which gives the most promising values, when determining the collinearity between the 14 training factors, which are, in descending order of significance, LULC, Distance to stream (DtS), Topography wetness index (TWI), HAND, Distance to the road (DtR), Geomorphology, Topography position index (TPI), Lithology, Drainage density (DD), Elevation, Slope, Rainfall, and Clay (%). The AUC-ROC approach was employed to assess the model's performance along with Accuracy, Specificity, and Sensitivity. This model revealed that 7.37% has very high groundwater potential in the eastern and south-western parts of the study, whereas 36.8% has a very low groundwater potential in the north-western and south-eastern parts of the study. It can be said from this assessment that results obtained from this investigation are better and more reliable, which gives essential encouragement for further study put on this method for groundwater potential mapping of other areas of the world along with other areas of hydrogeological investigations. Crown Copyright (c) 2024 Published by Elsevier B.V. on behalf of COSPAR. All rights reserved.</t>
  </si>
  <si>
    <t>[Zhao, Rui] Xihua Univ, Sch Energy &amp; Power Engn, Chengdu 610039, Peoples R China; [Zhao, Rui] Xihua Univ, Key Lab Fluid &amp; Power Machinery, Minist Educ, Chengdu 610039, Peoples R China; [Fan, Chenchen] Southwest Elect Power Design Inst Co LTD, China Power Engn Consulting Grp, Chengdu 610021, Peoples R China; [Arabameri, Alireza] Tarbiat Modares Univ, Dept Geomorphol, Tehran 1411713116, Iran; [Santosh, M.] China Univ Geosci Beijing, Sch Earth Sci &amp; Resources, Beijing, Peoples R China; [Santosh, M.] Univ Adelaide, Dept Earth Sci, Adelaide, SA, Australia; [Mohammad, Lal] Vidyasagar Univ, Ctr Environm Studies, Midnapore 721102, West Bengal, India; [Mondal, Ismail] Univ Calcutta, Dept Marine Sci, Kolkata 700019, India</t>
  </si>
  <si>
    <t>Xihua University; Xihua University; Tarbiat Modares University; China University of Geosciences; University of Adelaide; Vidyasagar University; University of Calcutta</t>
  </si>
  <si>
    <t>Zhao, R (corresponding author), Xihua Univ, Sch Energy &amp; Power Engn, Chengdu 610039, Peoples R China.;Arabameri, A (corresponding author), Tarbiat Modares Univ, Dept Geomorphol, Tehran 1411713116, Iran.</t>
  </si>
  <si>
    <t>10.1016/j.asr.2024.03.038</t>
  </si>
  <si>
    <t>Bag, Rakhohori; Mondal, Ismail; Dehbozorgi, Mahroo; Bank, Subhra Pratim; Das, Dipendra Nath; Bandyopadhyay, Jatisankar; Pham, Quoc Bao; Al-Quraishi, Ayad M. Fadhil; Nguyen, Xuan Cuong</t>
  </si>
  <si>
    <t>Modelling and mapping of soil erosion susceptibility using machine learning in a tropical hot sub-humid environment</t>
  </si>
  <si>
    <t>[Bag, Rakhohori; Das, Dipendra Nath] Jawaharlal Nehru Univ, Ctr Study Reg Dev, New Delhi 110067, India; [Mondal, Ismail] Univ Calcutta, Dept Marine Sci, Kolkata 700019, India; [Dehbozorgi, Mahroo] Univ Tehran, Fac Nat Resources, Tehran, Iran; [Bank, Subhra Pratim] Jadavpur Univ, Dept Geol Sci, Kolkata 700032, West Bengal, India; [Bandyopadhyay, Jatisankar] Vidyasagar Univ, Dept Remote Sensing &amp; GIS, Midnapore 721102, West Bengal, India; [Pham, Quoc Bao] Thu Dau Mot Univ, Inst Appl Technol, Thu Dau Mot, Binh Duong Prov, Vietnam; [Al-Quraishi, Ayad M. Fadhil] Tishk Int Univ, Fac Engn, Petr &amp; Min Engn Dept, Erbil 44001, Kurdistan Regio, Iraq; [Nguyen, Xuan Cuong] Duy Tan Univ, Inst Res &amp; Dev, Ctr Adv Chem, Da Nang 550000, Vietnam; [Nguyen, Xuan Cuong] Duy Tan Univ, Fac Environm Chem Engn, Da Nang 550000, Vietnam</t>
  </si>
  <si>
    <t>Jawaharlal Nehru University, New Delhi; University of Calcutta; University of Tehran; Jadavpur University; Vidyasagar University; Thu Dau Mot University; Tishk International University; Duy Tan University; Duy Tan University</t>
  </si>
  <si>
    <t>Nguyen, XC (corresponding author), Duy Tan Univ, Inst Res &amp; Dev, Ctr Adv Chem, Da Nang 550000, Vietnam.</t>
  </si>
  <si>
    <t>10.1016/j.jclepro.2022.132428</t>
  </si>
  <si>
    <t>Si, T; Miranda, PBC; Nandi, U; Jana, ND; Mallik, S; Maulik, U; Qin, H</t>
  </si>
  <si>
    <t>Si, Tapas; Miranda, Pericles B. C.; Nandi, Utpal; Jana, Nanda Dulal; Mallik, Saurav; Maulik, Ujjwal; Qin, Hong</t>
  </si>
  <si>
    <t>Opposition-Based Chaotic Tunicate Swarm Algorithms for Global Optimization</t>
  </si>
  <si>
    <t>Tunicate swarm algorithm; swarm intelligence; metaheuristic; opposition-based learning</t>
  </si>
  <si>
    <t>HARMONY SEARCH; OPERATION</t>
  </si>
  <si>
    <t>Tunicate Swarm Algorithm (TSA) is a novel swarm intelligence algorithm developed in 2020. Though it has shown superior performance in numerical benchmark function optimization and six engineering design problems over its competitive algorithms, it still needs further improvements. This article proposes two improved TSA algorithms using chaos theory, opposition-based learning (OBL) and Cauchy mutation. The proposed algorithms are termed OCSTA and COCSTA. The static and dynamic OBL are used respectively in the initialization and generation jumping phase of OCTSA, whereas centroid opposition-based computing is used, in the same phases, in COCTSA. The proposed algorithms are tested on 30 IEEE CEC2017 benchmark optimization problems consists of unimodal, multimodal, hybrid, and composite functions with 30, 50, and 100 dimensions. The experimental results are compared with the classical TSA, TSA with the local escaping operator (TSA-LEO), Sine Cosine Algorithm (SCA), Giza-Pyramid Construction Algorithm (GPC), Covariance Matrix Adaptation Evolution Strategy (CMAES), Archimedes Optimization Algorithm (AOA), Opposition-Based Arithmetic Optimization Algorithm (OBLAOA), and Opposition-Based Chimp Optimization Algorithm (ChOAOBL). The statistical analysis of experimental results using the Wilcoxon Signed Rank Test establishes that the proposed algorithms outperform TSA and other algorithms for most of the problems. Moreover, high dimensions are used to validate the scalability of OCTSA and COCTSA, and the results show that the modified TSA algorithms are least impacted by larger dimensions. The experimental results with statistical analysis demonstrate the effectiveness of the proposed algorithms in solving global optimization problems.</t>
  </si>
  <si>
    <t>[Si, Tapas] Univ Engn &amp; Management Jaipur, Dept Comp Sci &amp; Engn, AI Innovat Lab, Jaipur 303807, Rajasthan, India; [Miranda, Pericles B. C.] Univ Fed Rural Pernambuco UFRPE, Dept Computacao DC, BR-52171900 Recife, PE, Brazil; [Nandi, Utpal] Vidyasagar Univ, Dept Comp Sci, Paschim Medinipur 721102, W Bengal, India; [Jana, Nanda Dulal] Natl Inst Technol Durgapur, Dept Comp Sci &amp; Engn, Durgapur 713209, W Bengal, India; [Mallik, Saurav] Harvard TH Chan Sch Publ Hlth, Dept Environm Hlth, Boston, MA 02115 USA; [Maulik, Ujjwal] Jadavpur Univ, Dept Comp Sci &amp; Engn, Kolkata 700032, India; [Qin, Hong] Univ Tennessee, Dept Comp Sci &amp; Engn, Chattanooga, TN 37403 USA</t>
  </si>
  <si>
    <t>Universidade Federal Rural de Pernambuco (UFRPE); Vidyasagar University; National Institute of Technology (NIT System); National Institute of Technology Durgapur; Harvard University; Harvard T.H. Chan School of Public Health; Jadavpur University; University of Tennessee System; University of Tennessee at Chattanooga</t>
  </si>
  <si>
    <t>10.1109/ACCESS.2024.3359587</t>
  </si>
  <si>
    <t>Das, N; Gangopadhyay, P; Alam, MM; Mahmood, H; Bera, P; Khudoykulov, K; Dey, L; Hossain, ME</t>
  </si>
  <si>
    <t>Das, Narasingha; Gangopadhyay, Partha; Alam, Mohammad Mahtab; Mahmood, Haider; Bera, Pinki; Khudoykulov, Khurshid; Dey, Labani; Hossain, Md. Emran</t>
  </si>
  <si>
    <t>Does greenwashing obstruct sustainable environmental technologies and green financing from promoting environmental sustainability? Analytical evidence from the Indian economy</t>
  </si>
  <si>
    <t>environmental policy; environmental sustainability; green financing; greenwashing; sustainable development; sustainable development goals</t>
  </si>
  <si>
    <t>RESEARCH-AND-DEVELOPMENT; CARBON EMISSIONS; ENERGY-CONSUMPTION; CO2 EMISSIONS; LONG-RUN; GROWTH; COINTEGRATION; INNOVATION; IMPACT; EQUILIBRIUM</t>
  </si>
  <si>
    <t>This study aims at assessing the impacts of green growth, in the form of adopting sustainable energy technologies and financing green projects, on environmental conditions in India. Thus, this study is important from the point of view of India's efforts in formulating strategies linked with achieving the environmental development targets enlisted under United Nations SDG-13 declaration. In this regard, it is assumed that strategies targeted at establishing green growth in India can fail in the presence of greenwashing. To test this hypothesis, a newly introduced econometric technique, namely the Augmented-ARDL techniques of estimation is used. Accordingly, the results obtained firstly suggest the existence of long-run and cointegrated relationship exists between the variables of choice. Secondly, it is very much striking to find out that the the there is an inverse relationship between use of sustainable environmental technologies and environmental sustainability across India. Hence, this particular finding points to the possibility of stimulating geenwashing in the context of technology adoption in order to improve the state of the environment in India. Lastly, financing of green projects is seen to promote environmental sustainability which, in turn, affirms the absence of greenwashing in the context of green financing initiatives.</t>
  </si>
  <si>
    <t>[Das, Narasingha] Lebanese Amer Univ, Adnan Kassar Sch Business, Beirut, Lebanon; [Gangopadhyay, Partha] Western Sydney Univ, Sch Business, Sydney, Australia; [Alam, Mohammad Mahtab] King Khalid Univ, Coll Appl Med Sci, Dept Basic Med Sci, Abha, Saudi Arabia; [Mahmood, Haider] Prince Sattam Bin Abdulaziz Univ, Coll Business Adm, Dept Finance, 173, Al Kharj 11942, Saudi Arabia; [Bera, Pinki] Vidyasagar Univ, Dept Econ, Midnapore, W Bengal, India; [Khudoykulov, Khurshid] Tashkent State Univ Econ, Dept Finance, Tashkent, Uzbekistan; [Dey, Labani] LJD Law Coll Falta, Punia, W Bengal, India; [Hossain, Md. Emran] Bangladesh Agr Univ, Dept Agr Finance &amp; Banking, Mymensingh, Bangladesh</t>
  </si>
  <si>
    <t>Lebanese American University; Western Sydney University; King Khalid University; Prince Sattam Bin Abdulaziz University; Vidyasagar University; Tashkent State University of Economics; Bangladesh Agricultural University (BAU)</t>
  </si>
  <si>
    <t>Mahmood, H (corresponding author), Prince Sattam Bin Abdulaziz Univ, Coll Business Adm, Dept Finance, 173, Al Kharj 11942, Saudi Arabia.</t>
  </si>
  <si>
    <t>10.1002/sd.2722</t>
  </si>
  <si>
    <t>Halder, Bijay; Ameen, Ameen Mohammed Salih; Bandyopadhyay, Jatisankar; Khedher, Khaled Mohamed; Yaseen, Zaher Mundher</t>
  </si>
  <si>
    <t>The impact of climate change on land degradation along with shoreline migration in Ghoramara Island, India</t>
  </si>
  <si>
    <t>PHYSICS AND CHEMISTRY OF THE EARTH</t>
  </si>
  <si>
    <t>[Halder, Bijay; Bandyopadhyay, Jatisankar] Vidyasagar Univ, Dept Remote Sensing &amp; GIS, Midnapore 721102, India; [Ameen, Ameen Mohammed Salih] Univ Baghdad, Coll Engn, Dept Water Resources, Baghdad, Iraq; [Khedher, Khaled Mohamed] King Khalid Univ, Coll Engn, Dept Civil Engn, Abha 61421, Saudi Arabia; [Khedher, Khaled Mohamed] Mrezgua Univ Campus, High Inst Technol Studies, Dept Civil Engn, Nabeul 8000, Tunisia; [Yaseen, Zaher Mundher] Univ Southern Queensland, Sch Math Phys &amp; Comp, USQs Adv Data Analyt Res Grp, Toowoomba, Qld 4350, Australia; [Yaseen, Zaher Mundher] Al Ayen Univ, Sci Res Ctr, New Era &amp; Dev Civil Engn Res Grp, 64001, Thi Qar, Iraq; [Yaseen, Zaher Mundher] Asia Univ, Coll Creat Design, Taichung, Taiwan; [Yaseen, Zaher Mundher] Univ Teknol MARA, Inst Big Data Analyt &amp; Artificial Intelligence IBD, Kompleks Al Khawarizmi, Shah Alam 40450, Selangor, Malaysia</t>
  </si>
  <si>
    <t>Vidyasagar University; University of Baghdad; King Khalid University; University of Southern Queensland; Al-Ayen University; Asia University Taiwan; Universiti Teknologi MARA</t>
  </si>
  <si>
    <t>1474-7065</t>
  </si>
  <si>
    <t>1873-5193</t>
  </si>
  <si>
    <t>10.1016/j.pce.2022.103135</t>
  </si>
  <si>
    <t>Mondal, Susmita; Bayan, Sayan; Ghosh, Ria; Das, Monojit; Adhikari, Aniruddha; Mukherjee, Dipanjan; Mallick, Asim Kumar; Ray, Samit Kumar; Pal, Samir Kumar</t>
  </si>
  <si>
    <t>Functionalized Two-Dimensional Carbon Nitride Nanodots Detect and Reverse Lead Toxicity in the Physiological Milieu</t>
  </si>
  <si>
    <t>ACS APPLIED MATERIALS &amp; INTERFACES</t>
  </si>
  <si>
    <t>[Mondal, Susmita; Ghosh, Ria; Adhikari, Aniruddha; Mukherjee, Dipanjan; Pal, Samir Kumar] SN Bose Natl Ctr Basic Sci, Dept Chem Biol &amp; Macromol Sci, Kolkata 700106, India; [Bayan, Sayan] Rajiv Gandhi Univ, Dept Phys, Papum Pare 791112, Arunachal Prade, India; [Ghosh, Ria] Univ Calcutta 35, Dept Biochem, Kolkata 700019, India; [Das, Monojit] Vidyasagar Univ, Dept Zool, Midnapore 721102, India; [Das, Monojit; Pal, Samir Kumar] Univ Calcutta, Uluberia Coll, Dept Zool, Uluberia 711315, India; [Mallick, Asim Kumar] Nil RatanSirkar Med Coll &amp; Hosp, Dept Pediat Med, Kolkata 700014, India; [Ray, Samit Kumar] IIT Kharagpur, Dept Phys, Kharagpur 721302, W Bengal, India</t>
  </si>
  <si>
    <t>Department of Science &amp; Technology (India); SN Bose National Centre for Basic Science (SNBNCBS); Rajiv Gandhi University, Itanagar; University of Calcutta; Vidyasagar University; University of Calcutta; Indian Institute of Technology System (IIT System); Indian Institute of Technology (IIT) - Kharagpur</t>
  </si>
  <si>
    <t>Pal, SK (corresponding author), SN Bose Natl Ctr Basic Sci, Dept Chem Biol &amp; Macromol Sci, Kolkata 700106, India.;Pal, SK (corresponding author), Univ Calcutta, Uluberia Coll, Dept Zool, Uluberia 711315, India.;Ray, SK (corresponding author), IIT Kharagpur, Dept Phys, Kharagpur 721302, W Bengal, India.</t>
  </si>
  <si>
    <t>1944-8244</t>
  </si>
  <si>
    <t>1944-8252</t>
  </si>
  <si>
    <t>10.1021/acsami.2c02377</t>
  </si>
  <si>
    <t>Qi, Yunyun; Zhang, Tianye; Cao, Jing; Jin, Cai; Chen, Tianyu; Su, Yue; Su, Chong; Sannigrahi, Srikanta; Maiti, Arabinda; Tao, Shiqi; Zhang, Qi; Li, Tan</t>
  </si>
  <si>
    <t>Heterogeneity Impacts of Farmers' Participation in Payment for Ecosystem Services Based on the Collective Action Framework</t>
  </si>
  <si>
    <t>[Qi, Yunyun; Zhang, Tianye; Cao, Jing; Jin, Cai; Su, Yue; Li, Tan] Anhui Agr Univ, Coll Econ &amp; Management, Hefei 230036, Peoples R China; [Chen, Tianyu] Beijing Forestry Univ, Coll Econ &amp; Management, Beijing 100083, Peoples R China; [Su, Chong] Zhejiang Univ, Inst Agr Remote Sensing &amp; Informat Technol, Coll Environm &amp; Resource Sci, Hangzhou 310058, Peoples R China; [Sannigrahi, Srikanta] Univ Coll Dublin Richview, Sch Architecture Planning &amp; Environm Policy, Dublin D14 E099, Ireland; [Maiti, Arabinda] Vidyasagar Univ, Dept Geog &amp; Environm Management, Midnapore 721102, India; [Tao, Shiqi] Clark Univ, Grad Sch Geog, Worcester, MA 01610 USA; [Zhang, Qi] Univ North Carolina Chapel Hill, Dept Geog, Chapel Hill, NC 27599 USA</t>
  </si>
  <si>
    <t>Anhui Agricultural University; Beijing Forestry University; Zhejiang University; University College Dublin; Vidyasagar University; Clark University; University of North Carolina; University of North Carolina Chapel Hill; University of North Carolina School of Medicine</t>
  </si>
  <si>
    <t>Li, T (corresponding author), Anhui Agr Univ, Coll Econ &amp; Management, Hefei 230036, Peoples R China.</t>
  </si>
  <si>
    <t>10.3390/land11112007</t>
  </si>
  <si>
    <t>Rej, Soumen; Bandyopadhyay, Arunava; Das, Narasingha; Hossain, Md Emran; Islam, Md Sayemul; Bera, Pinki; Yeediballi, Thorani</t>
  </si>
  <si>
    <t>The asymmetric influence of environmental-related technological innovation on climate change mitigation: what role do FDI and renewable energy play?</t>
  </si>
  <si>
    <t>[Rej, Soumen; Bandyopadhyay, Arunava] Indian Inst Technol Kharagpur, Vinod Gupta Sch Management, Kharagpur, W Bengal, India; [Rej, Soumen] Univ Petr &amp; Energy Studies, Sch Business, Dehra Dun, Uttarakhand, India; [Bandyopadhyay, Arunava] OP Jindal Global Univ, Jindal Global Business Sch, Sonipat, Haryana, India; [Das, Narasingha] Peace &amp; Secur Australia Chapter, Sydney, NSW, Australia; [Hossain, Md Emran] Bangladesh Agr Univ, Dept Agr Finance &amp; Banking, Mymensingh 2202, Bangladesh; [Islam, Md Sayemul] Bangladesh Agr Univ, Dept Agr Econ, Mymensingh 2202, Bangladesh; [Bera, Pinki] Vidyasagar Univ, Dept Econ, Midnapore, India; [Yeediballi, Thorani] GITAM, GITAM Sch Business, Visakhapatnam, Andhra Pradesh, India</t>
  </si>
  <si>
    <t>Indian Institute of Technology System (IIT System); Indian Institute of Technology (IIT) - Kharagpur; University of Petroleum &amp; Energy Studies (UPES); O.P. Jindal Global University; Bangladesh Agricultural University (BAU); Bangladesh Agricultural University (BAU); Vidyasagar University; Gandhi Institute of Technology &amp; Management (GITAM)</t>
  </si>
  <si>
    <t>10.1007/s11356-022-23182-7</t>
  </si>
  <si>
    <t>Adhikari, Aniruddha; Bhutani, Vinod K.; Mondal, Susmita; Das, Monojit; Darbar, Soumendra; Ghosh, Ria; Polley, Nabarun; Das, Anjan Kumar; Bhattacharya, Siddhartha Sankar; Pal, Debasish; Mallick, Asim Kumar; Pal, Samir Kumar</t>
  </si>
  <si>
    <t>Chemoprevention of bilirubin encephalopathy with a nanoceutical agent</t>
  </si>
  <si>
    <t>PEDIATRIC RESEARCH</t>
  </si>
  <si>
    <t>[Adhikari, Aniruddha; Mondal, Susmita; Pal, Samir Kumar] SN Bose Natl Ctr Basic Sci, Dept Chem Biol &amp; Macromol Sci, Block JD,Sect 3, Kolkata 700106, India; [Bhutani, Vinod K.] Stanford Univ, Lucile Packard Childrens Hosp, Dept Neonatal &amp; Dev Med, 750 Welch Rd, Palo Alto, CA 94304 USA; [Das, Monojit; Bhattacharya, Siddhartha Sankar; Pal, Debasish; Pal, Samir Kumar] Univ Calcutta, Uluberia Coll, Dept Zool, Uluberia 711315, Howrah, India; [Das, Monojit] Vidyasagar Univ, Dept Zool, Rangamati 721102, Midnapore, India; [Darbar, Soumendra] Deys Med Stores Mfg Pvt Ltd, Res &amp; Dev Div, 62 Bondel Rd, Kolkata 700019, India; [Ghosh, Ria; Pal, Samir Kumar] SN Bose Natl Ctr Basic Sci, Tech Res Ctr, Block JD,Sect 3, Kolkata 700106, India; [Polley, Nabarun] Univ Potsdam, Phys Chem innoFSPEC, Muhlenberg 3, D-14476 Potsdam, Germany; [Das, Anjan Kumar] Coochbehar Govt Med Coll &amp; Hosp, Dept Pathol, Silver Jubilee Rd, Cooch Behar 736101, India; [Mallick, Asim Kumar] Nil Ratan Sirkar Med Coll &amp; Hosp, Dept Pediat Med, 138 AJC Bose Rd, Kolkata 700014, India</t>
  </si>
  <si>
    <t>Department of Science &amp; Technology (India); SN Bose National Centre for Basic Science (SNBNCBS); Lucile Packard Children's Hospital (LPCH); Stanford University; University of Calcutta; Vidyasagar University; Department of Science &amp; Technology (India); SN Bose National Centre for Basic Science (SNBNCBS); University of Potsdam</t>
  </si>
  <si>
    <t>Pal, SK (corresponding author), SN Bose Natl Ctr Basic Sci, Dept Chem Biol &amp; Macromol Sci, Block JD,Sect 3, Kolkata 700106, India.;Pal, SK (corresponding author), Univ Calcutta, Uluberia Coll, Dept Zool, Uluberia 711315, Howrah, India.;Pal, SK (corresponding author), SN Bose Natl Ctr Basic Sci, Tech Res Ctr, Block JD,Sect 3, Kolkata 700106, India.</t>
  </si>
  <si>
    <t>0031-3998</t>
  </si>
  <si>
    <t>1530-0447</t>
  </si>
  <si>
    <t>10.1038/s41390-022-02179-5</t>
  </si>
  <si>
    <t>Pediatrics</t>
  </si>
  <si>
    <t>Das, Bhriguram; Ghosh, Avijit; Yesmin, Sabina; Abbas, Sk Jahir; Dolai, Malay; Mabhai, Subhabrata; Jana, Atanu; Dey, Satyajit; Misra, Ajay</t>
  </si>
  <si>
    <t>A cell-compatible phenolphthalein-aminophenol scaffold for Al3+ sensing assisted by CHEF phenomenon</t>
  </si>
  <si>
    <t>[Das, Bhriguram; Yesmin, Sabina; Misra, Ajay] Vidyasagar Univ, Dept Chem, Midnapore 721102, W Bengal, India; [Das, Bhriguram; Dey, Satyajit] Tamralipta Mahavidyalaya, Dept Chem, Purba Medinipur 721636, W Bengal, India; [Ghosh, Avijit] Univ Calcutta, Ctr Res Nanosci &amp; Nanotechnol, Technol Campus, Kolkata 700106, W Bengal, India; [Yesmin, Sabina] Natl Dong Hwa Univ, Dept Phys, Hualien 97410, Taiwan; [Abbas, Sk Jahir] Shanghai Jiao Tong Univ, Dept Biliary Pancreat Surg, Sch Med, Renji Hosp, Shanghai 200127, Peoples R China; [Dolai, Malay] Prabhat Kumar Coll, Dept Chem, Contai 721404, Purba Medinipur, India; [Mabhai, Subhabrata] Mahishadal Raj Coll, Dept Chem, Mahishadal 721628, Purba Medinipur, India; [Jana, Atanu] Dongguk Univ, Div Phys &amp; Semicond Sci, Seoul 04620, South Korea</t>
  </si>
  <si>
    <t>Vidyasagar University; University of Calcutta; National Dong Hwa University; Shanghai Jiao Tong University; Dongguk University</t>
  </si>
  <si>
    <t>10.1016/j.molstruc.2021.132295</t>
  </si>
  <si>
    <t>Wang, Y; Wang, WZ; Wang, ZL; Deveci, M; Roy, SK; Kadry, S</t>
  </si>
  <si>
    <t>Wang, Yi; Wang, Weizhong; Wang, Zelin; Deveci, Muhammet; Roy, Sankar Kumar; Kadry, Seifedine</t>
  </si>
  <si>
    <t>Selection of sustainable food suppliers using the Pythagorean fuzzy CRITIC-MARCOS method</t>
  </si>
  <si>
    <t>Supplier selection; MARCOS method; CRITIC; Pythagorean fuzzy set; Sustainable food supply chain</t>
  </si>
  <si>
    <t>MEMBERSHIP GRADES; MODEL</t>
  </si>
  <si>
    <t>Sustainable food supplier selection (SFSS) can be handled as an uncertain decision -making issue. The Pythagorean fuzzy set (PFS), a type of non-standard fuzzy set, offers an expanded description space for articulating fuzzy and uncertain data. Accordingly, this paper proposes a Pythagorean fuzzy synthetic decision method -based selection framework for solving the SFSS problem within a subjective context. Then, the weighted distance measures for the PFS are introduced to derive the importance degrees of the experts, which can provide a more objective decision result. Then, an information fusion method with a PFS-weighted power average (WPA) operator is introduced to form a group decision matrix competent to accommodate the deviation effect. Next, an extended PF-measurement of alternatives and ranking according to compromise solution (MARCOS) method integrating PF-criteria importance through inter -criteria correlation (CRITIC) is presented to calculate the priority of each supplier, which can capture the inter -correlations between criteria. Finally, a numerical example of SFSS is implemented to show the application of the proposed synthetic decision approach. Subsequently, the sensitivity analysis of distance parameters and comparison analysis among different SFSS approaches were conducted to test the rationality and advantages of the proposed framework for resolving the SFSS problem. The results show that the reported method can provide a practical way to resolve the SFSS problems with uncertain data.</t>
  </si>
  <si>
    <t>[Wang, Yi; Wang, Weizhong] Anhui Normal Univ, Sch Econ &amp; Management, Wuhu 241000, Peoples R China; [Wang, Zelin] China Jiliang Univ, Sch Econ &amp; Management, Hangzhou 310018, Peoples R China; [Deveci, Muhammet] Natl Def Univ, Turkish Naval Acad, Dept Ind Engn, TR-34942 Istanbul, Turkiye; [Deveci, Muhammet] UCL, Bartlett Sch Sustainable Construct, 1-19 Torrington Pl, London WC1E 7HB, England; [Deveci, Muhammet] Lebanese Amer Univ, Dept Elect &amp; Comp Engn, Byblos, Lebanon; [Roy, Sankar Kumar] Vidyasagar Univ, Dept Appllied Math, Midnapore 721102, W Bengal, India; [Kadry, Seifedine] Noroff Univ Coll, Dept Appl Data Sci, Kristiansand, Norway; [Kadry, Seifedine] Ajman Univ, Artificial Intelligence Res Ctr AIRC, Ajman 346, U Arab Emirates; [Kadry, Seifedine] Middle East Univ, MEU Res Unit, Amman 11831, Jordan</t>
  </si>
  <si>
    <t>Anhui Normal University; China Jiliang University; University of London; University College London; Lebanese American University; Vidyasagar University; Ajman University; Middle East University</t>
  </si>
  <si>
    <t>Wang, WZ (corresponding author), Anhui Normal Univ, Sch Econ &amp; Management, Wuhu 241000, Peoples R China.;Deveci, M (corresponding author), Natl Def Univ, Turkish Naval Acad, Dept Ind Engn, TR-34942 Istanbul, Turkiye.</t>
  </si>
  <si>
    <t>10.1016/j.ins.2024.120326</t>
  </si>
  <si>
    <t>Ahmadianfar, Iman; Noori, Ramzia Majeed; Togun, Hussein; Falah, Mayadah W.; Homod, Raad Z.; Fu, Minglei; Halder, Bijay; Deo, Ravinesh; Yaseen, Zaher Mundher</t>
  </si>
  <si>
    <t>Multi-strategy Slime Mould Algorithm for hydropower multi-reservoir systems optimization</t>
  </si>
  <si>
    <t>[Ahmadianfar, Iman] Behbahan Khatam Alanbia Univ Technol, Dept Civil Engn, Behbahan, Iran; [Noori, Ramzia Majeed] Gen Co Elect Transmiss North Reg, Minist Elect, Sulaimaniyah, Iraq; [Togun, Hussein] Univ Thi Qar, Dept Biomed Engn, Nasiriyah, Iraq; [Falah, Mayadah W.] AL Mustaqbal Univ Coll, Bldg &amp; Construct Engn Technol Dept, Hillah 51001, Iraq; [Homod, Raad Z.] Basrah Univ Oil &amp; Gas, Dept Oil &amp; Gas Engn, Basrah, Iraq; [Fu, Minglei] Zhejiang Univ Technol, Coll Informat Engn, Hangzhou 310023, Peoples R China; [Halder, Bijay] Vidyasagar Univ, Dept Remote Sensing &amp; GIS, Midnapore, India; [Deo, Ravinesh] Univ Southern Queensland, Sch Math Phys &amp; Comp, Adv Data Analyt Environm Modelling &amp; Simulat Grp, Springfield, Qld 4300, Australia; [Yaseen, Zaher Mundher] Univ Kebangsaan Malaysia, Fac Sci &amp; Technol, Dept Earth Sci &amp; Environm, Bangi 43600, Selangor, Malaysia; [Yaseen, Zaher Mundher] Univ Southern Queensland, Sch Math Phys &amp; Comp, USQs Adv Data Analyt Res Grp, Toowoomba, Qld 4350, Australia; [Yaseen, Zaher Mundher] Al Ayen Univ, Sci Res Ctr, New Era &amp; Dev Civil Engn Res Grp, Thi Qar 64001, Iraq</t>
  </si>
  <si>
    <t>University of Thi-Qar; Al-Mustaqbal University College; Zhejiang University of Technology; Vidyasagar University; University of Southern Queensland; Universiti Kebangsaan Malaysia; University of Southern Queensland; Al-Ayen University</t>
  </si>
  <si>
    <t>Yaseen, ZM (corresponding author), Al Ayen Univ, Sci Res Ctr, New Era &amp; Dev Civil Engn Res Grp, Thi Qar 64001, Iraq.</t>
  </si>
  <si>
    <t>10.1016/j.knosys.2022.109048</t>
  </si>
  <si>
    <t>Dandapat, K; Chatterjee, U; Das, S; Patra, A; Manna, H; Ghosh, A; Pal, SC; Islam, AMT; Costache, R; Alam, E; Islam, MK</t>
  </si>
  <si>
    <t>Dandapat, Kishor; Chatterjee, Uday; Das, Sandipan; Patra, Arpita; Manna, Harekrishna; Ghosh, Anitabha; Pal, Subodh Chandra; Islam, Abu Reza Md. Towfiqul; Costache, Romulus; Alam, Edris; Islam, Md Kamrul</t>
  </si>
  <si>
    <t>Assessment of groundwater potential zones in data-scarce regions using GIS-based multicriteria decision making approach</t>
  </si>
  <si>
    <t>Groundwater potential; AHP; multicriteria; geospatial</t>
  </si>
  <si>
    <t>FREQUENCY RATIO; DELINEATION; PROVINCE; BASIN; DISTRICT; MODEL; ZONATION; WEIGHTS; TERRAIN; CLIMATE</t>
  </si>
  <si>
    <t>Groundwater is an essential natural resource that sustains numerous ecological systems and human lifestyles. The Jhargram district is facing persistent groundwater development issues, requiring comprehensive monitoring and planning, as most farmers heavily rely on groundwater for crop production. The groundwater potential zone of the Jhargram district was classified into five classes, viz., very high (5.82%), high (50.81%), moderate (30.33%), low (13.01%), and very low (0.03%), zones, respectively. The results were assessed for validity using ROC curves, which demonstrated an accuracy rate of 80.4%. The calculation of the AUC was performed in order to assess the overall accuracy of the predicted GWPZ. The GWPZ map is crucial for implementing artificial recharge structures like percolation ponds, bunds and trenching in semi-arid regions. It aids in developing sustainable groundwater management policies, mitigating drought, climate change, and water scarcity, and aiding farmers, regional planners, policy-makers, climate change experts, and local governments.</t>
  </si>
  <si>
    <t>[Dandapat, Kishor; Patra, Arpita] Vidyasagar Univ, Dept Geog, Seva Bharati Mahavidyalaya, Jhargram, India; [Chatterjee, Uday] Bhatter Coll, Dept Geog, Dantan, India; [Das, Sandipan] Symbiosis Int Deemed Univ, Symbiosis Inst Geoinformat SIG, Pune, India; [Manna, Harekrishna] Univ Karnataka, Sch Earth Sci Cent, Dept Geog, Kalaburagi, India; [Ghosh, Anitabha; Pal, Subodh Chandra] Univ Burdwan, Dept Geog, Purba Bardhaman, W Bengal, India; [Islam, Abu Reza Md. Towfiqul] Begum Rokeya Univ, Dept Disaster Management, Rangpur, Bangladesh; [Islam, Abu Reza Md. Towfiqul] Daffodil Int Univ, Dept Dev Studies, Dhaka, Bangladesh; [Costache, Romulus] Transilvania Univ Brasov, Dept Civil Engn, Brasov, Romania; [Costache, Romulus] Danube Delta Natl Inst Res &amp; Dev, Tulcea, Romania; [Alam, Edris] Rabdan Acad, Fac Resilience, Abu Dhabi, U Arab Emirates; [Alam, Edris] Univ Chittagong, Dept Geog &amp; Environm Studies, Chittagong, Bangladesh; [Islam, Md Kamrul] King Faisal Univ, Coll Engn, Dept Civil &amp; Environm Engn, Alahsa, Saudi Arabia</t>
  </si>
  <si>
    <t>Visva Bharati University; Vidyasagar University; Symbiosis International University; University of Burdwan; Daffodil International University; Transylvania University of Brasov; University of Chittagong; King Faisal University</t>
  </si>
  <si>
    <t>Chatterjee, U (corresponding author), Bhatter Coll, Dept Geog, Dantan, India.;Pal, SC (corresponding author), Univ Burdwan, Dept Geog, Purba Bardhaman, W Bengal, India.;Islam, AMT (corresponding author), Begum Rokeya Univ, Dept Disaster Management, Rangpur, Bangladesh.;Islam, AMT (corresponding author), Daffodil Int Univ, Dept Dev Studies, Dhaka, Bangladesh.</t>
  </si>
  <si>
    <t>10.1080/10106049.2024.2311202</t>
  </si>
  <si>
    <t>Khedher, Khaled Mohamed; Abu-Taweel, Gasem Mohammad; Al-Fifi, Zarraq; Qoradi, Mofareh D.; Al-khafaji, Zainab; Halder, Bijay; Bandyopadhyay, Jatisankar; Shahid, Shamsuddin; Essaied, Laatar; Yaseen, Zaher Mundher</t>
  </si>
  <si>
    <t>Farasan Island of Saudi Arabia confronts the measurable impacts of global warming in 45 years</t>
  </si>
  <si>
    <t>[Khedher, Khaled Mohamed] King Khalid Univ, Coll Engn, Dept Civil Engn, Abha 61421, Saudi Arabia; [Khedher, Khaled Mohamed] High Inst Technol Studies, Dept Civil Engn, Mrezgua Univ Campus, Nabeul 8000, Tunisia; [Abu-Taweel, Gasem Mohammad; Al-Fifi, Zarraq] Jazan Univ, Coll Sci, Dept Biol, POB 2079, Jazan 45142, Saudi Arabia; [Qoradi, Mofareh D.] King Saud Univ, Coll Arts, Dept Geog, Riyadh 11451, Saudi Arabia; [Al-khafaji, Zainab] AL Mustaqbal Univ Coll, Bldg &amp; Construct Engn Technol Dept, Hillah 51001, Iraq; [Halder, Bijay; Bandyopadhyay, Jatisankar] Vidyasagar Univ, Dept Remote Sensing &amp; GIS, Midnapore, W Bengal, India; [Shahid, Shamsuddin] Univ Teknol Malaysia UTM, Fac Engn, Sch Civil Engn, Johor Baharu 81310, Malaysia; [Essaied, Laatar] Co Phosphate Gafsa &amp; Chem Grp Tunisia, Appt D6 Immeuble Ramsis Ave Habib Bourguiba, Ezzahra Ben Arous 2034, Tunisia; [Yaseen, Zaher Mundher] Al Ayen Univ, Sci Res Ctr, New Era &amp; Dev Civil Engn Res Grp, Thi Qar 64001, Iraq</t>
  </si>
  <si>
    <t>King Khalid University; Jazan University; King Saud University; Al-Mustaqbal University College; Vidyasagar University; Universiti Teknologi Malaysia; Al-Ayen University</t>
  </si>
  <si>
    <t>10.1038/s41598-022-18225-5</t>
  </si>
  <si>
    <t>Mondal, I; Bandyopadhyay, J; Hossain, SKA; Altuwaijri, HA; Roy, SK; Akhter, J; Mohammad, L; Juliev, M</t>
  </si>
  <si>
    <t>Mondal, Ismail; Bandyopadhyay, Jatisankar; Hossain, S. K. Ariful; Altuwaijri, Hamad Ahmed; Roy, Sujit Kumar; Akhter, Javed; Mohammad, Lal; Juliev, Mukhiddin</t>
  </si>
  <si>
    <t>Evaluating the effects of rapid urbanization on the encroachment of the east Kolkata Wetland ecosystem: a remote sensing and hybrid machine learning approach</t>
  </si>
  <si>
    <t>East Kolkata wetlands; LST; NDVI; Remote sensing; Machine learning</t>
  </si>
  <si>
    <t>BUILT-UP INDEX; LAND-USE; URBAN EXPANSION; CONSERVATION; DYNAMICS; CLASSIFICATION; VULNERABILITY; REGRESSION; SERVICES; MODELS</t>
  </si>
  <si>
    <t>The East Kolkata Wetland (EKW) is a Ramsar wetland near the Kolkata megacity. EKW is a vital wetland ecosystem that provides several direct and indirect ecosystem services to the Kolkata metropolitan area. The rapid expansion of urban development near the EKW is exerting significant stress on the EKW, resulting in the fastest rate of wetland degradation in recent decades. A practical method for assessing the danger of wetland conversion is essential for conserving this ecosystem. This study aims to analyze the potential impact of EKW change utilizing four advanced data-driven machine learning (ML) models: random forest (RF), support vector machine (SVM), artificial neural network (ANN), and gradient boosting machine (GBM), to monitor the dynamics of change in wetland ecological systems employing Landsat TM and OLI data from 2006-2010, 2011-2015, and 2016-2022. The research innovation applies ML models to water quality, urban heat islands, groundwater potential, and storm surge vulnerabilities, which have not been previously investigated in wetland conversion risk assessment. The benefit of using four ML models lies in their ability to surpass the constraints of assumption-driven traditional approaches for assessing wetland threats related to land surface temperature (LST) in the context of urban expansion. Five components have been identified, categorized as the bare soil index (BI), normalised difference water index (NDWI), normalised difference vegetation index (NDVI), built-up index (BU), and LST. The findings of the ML model demonstrate that around 50-70% of the region has undergone significant changes owing to the increase in urban land use and land cover (LULC). A comparison of these four approaches is also conducted to determine the most accurate prediction technique for this research field. Relative importance (RI) is used to verify the models' outcomes statistically, and all of these approaches indicate a more accurate prediction model for this research with an average accuracy of 83% and RMSE of 2.95. Four ML models effectively represent the geographical pattern of encroachment and decrease of EKW caused by urban expansion. Results from RF, SVM, ANN, and GBM models, along with related maps, can help land-use planners and policy analysts pinpoint where LULC and LST changes are occurring in urban areas, evaluate the success of programs to protect wetlands, draft legislation to halt the deterioration of wetlands and implement sustainable practices for the ecosystem's long-term sustainability.</t>
  </si>
  <si>
    <t>[Mondal, Ismail] Univ Calcutta, Dept Marine Sci, Kolkata 700019, India; [Bandyopadhyay, Jatisankar; Mohammad, Lal] Vidyasagar Univ, Dept Remote Sensing &amp; GIS, Midnapore 721102, West Bengal, India; [Hossain, S. K. Ariful] CSIR, Natl Inst Oceanog, Goa 403004, India; [Hossain, S. K. Ariful] Jadavpur Univ, Sch Oceanog Studies, Kolkata 700032, India; [Altuwaijri, Hamad Ahmed] King Saud Univ, Coll Humanities &amp; Social Sci, Dept Geog, Riyadh 1145, Saudi Arabia; [Roy, Sujit Kumar] Bangladesh Univ Engn &amp; Technol BUET, Inst Water &amp; Flood Management IWFM, Dhaka, Bangladesh; [Akhter, Javed] Univ Calcutta, Dept Atmospher Sci, Kolkata 700019, West Bengal, India; [Juliev, Mukhiddin] TIIAME Natl Res Univ, Inst Fundamental &amp; Appl Res, Kori Niyoziy 39, Tashkent 100000, Uzbekistan; [Juliev, Mukhiddin] Chinese Acad Sci, Xinjiang Inst Ecol &amp; Geog, State Key Lab Desert &amp; Oasis Ecol, Key Lab Ecol Safety &amp; Sustainable Dev Arid Lands, Urumqi 830011, Peoples R China; [Juliev, Mukhiddin] Turin Polytech Univ Tashkent, Little Ring Rd St 17, Tashkent 100095, Uzbekistan</t>
  </si>
  <si>
    <t>University of Calcutta; Vidyasagar University; Council of Scientific &amp; Industrial Research (CSIR) - India; CSIR - National Institute of Oceanography (NIO); Jadavpur University; King Saud University; Bangladesh University of Engineering &amp; Technology (BUET); University of Calcutta; Tashkent Institute of Irrigation &amp; Agricultural Mechanization Engineers; Chinese Academy of Sciences; Xinjiang Institute of Ecology &amp; Geography, CAS; Turin Polytechnic University Tashkent</t>
  </si>
  <si>
    <t>Mondal, I (corresponding author), Univ Calcutta, Dept Marine Sci, Kolkata 700019, India.</t>
  </si>
  <si>
    <t>10.1007/s10668-024-05832-7</t>
  </si>
  <si>
    <t>Das, Pulakesh; Behera, Mukunda Dev; Barik, Saroj Kanta; Mudi, Sujoy; Jagadish, Buddolla; Sarkar, Swarup; Joshi, Santa Ram; Adhikari, Dibyendu; Behera, Soumit Kumar; Sarma, Kiranmay; Srivastava, Prashant Kumar; Chauhan, Puneet Singh</t>
  </si>
  <si>
    <t>Shifting cultivation induced burn area dynamics using ensemble approach in Northeast India</t>
  </si>
  <si>
    <t>TREES FORESTS AND PEOPLE</t>
  </si>
  <si>
    <t>[Das, Pulakesh] World Resources Inst India, Sustainable Landscape &amp; Restorat, New Delhi 110016, India; [Behera, Mukunda Dev; Mudi, Sujoy; Jagadish, Buddolla] Indian Inst Technol Kharagpur, Ctr Oceans Rivers Atmosphere &amp; Land Sci, Kharagpur 721302, W Bengal, India; [Barik, Saroj Kanta; Adhikari, Dibyendu; Behera, Soumit Kumar; Chauhan, Puneet Singh] Natl Bot Res Inst, Lucknow 226001, Uttar Pradesh, India; [Sarkar, Swarup] Vidyasagar Univ, Dept Remote Sensing &amp; GIS, Midnapore 721102, India; [Joshi, Santa Ram] North Eastern Hill Univ, Dept Biotechnol &amp; Bioinformat, Shillong 793022, Meghalaya, India; [Sarma, Kiranmay] GGS Indraprastha Univ, Univ Sch Environm Management, New Delhi 110078, India; [Srivastava, Prashant Kumar] Banaras Hindu Univ, Inst Environm &amp; Sustainable Dev, Varanasi 221005, Uttar Pradesh, India</t>
  </si>
  <si>
    <t>Indian Institute of Technology System (IIT System); Indian Institute of Technology (IIT) - Kharagpur; Council of Scientific &amp; Industrial Research (CSIR) - India; CSIR - National Botanical Research Institute (NBRI); Vidyasagar University; North Eastern Hill University; GGS Indraprastha University; Banaras Hindu University (BHU)</t>
  </si>
  <si>
    <t>Behera, MD (corresponding author), Indian Inst Technol Kharagpur, Ctr Oceans Rivers Atmosphere &amp; Land Sci, Kharagpur 721302, W Bengal, India.</t>
  </si>
  <si>
    <t>2666-7193</t>
  </si>
  <si>
    <t>10.1016/j.tfp.2021.100183</t>
  </si>
  <si>
    <t>Halder, B; Chatterjee, P; Rana, B; Bandyopadhyay, J; Pande, CB; Ahmed, KO; Elkhrachy, I; Radwan, N</t>
  </si>
  <si>
    <t>Halder, Bijay; Chatterjee, Papul; Rana, Biswarup; Bandyopadhyay, Jatisankar; Pande, Chaitanya Baliram; Ahmed, Kaywan Othman; Elkhrachy, Ismail; Radwan, Neyara</t>
  </si>
  <si>
    <t>Delineating the climate change impacts on urban environment along with heat stress in the Indian tropical city</t>
  </si>
  <si>
    <t>Urban heat island; Thermal comfort; Landform monitoring; Bhubaneswar; Regression analysis</t>
  </si>
  <si>
    <t>LAND-SURFACE TEMPERATURE; ISLAND; RETRIEVAL; PATTERN</t>
  </si>
  <si>
    <t>India experiences significant levels of temperature variance as a result of urbanization, deforestation, and industrial growth, all of which contribute to a progressive increase in heat island effects. Significant landform change has occurred in Bhubaneswar City, Odisha, in recent decades as a result of major plant loss and temperature unpredictability. Thus, during the summer and winter months, an examination of the long-term heat island impacts is essential for Bhubaneswar. The evolution of landforms and heat island impacts in Bhubaneswar are evaluated using Landsat images from 1991 to 2021 datasets and correlation analysis of heat islands and geospatial variables. Between 1991 and 2021 with a 10-year gap, the landforms studied showed an increase in built-up land (38.009 km(2)), a decrease in vegetation (13.875 km(2)), bare ground (16.306 km(2)), and water bodies (7.828 km(2)). The annual temperature variance in Bhubaneswar was 0.124 degrees C (summer), and 0.293 degrees C (winter). Surface temperatures varied by about 3.71 degrees C (summer) and 8.80 degrees C (winter). During the study years, heat islands increased from 2.89 to 4.27 (summer) and 2.30 to 3.87 (winter). In Bhubaneswar, there was an increase in ecological variation of 0.092 (summer), and 0.071 (winter). There is a statistically significant negative correlation between the R-2 values and the temperature and the built-up indices. Using this dataset, administrative and development authorities can choose which measures to take to counteract the effects of variations in thermal variation. Finding out how man-made land use structures, industrial zones, and other areas contribute to the built-up area a direct consequence of heat islands was the aim of this study.</t>
  </si>
  <si>
    <t>[Halder, Bijay] Univ Kebangsaan Malaysia, Fac Sci &amp; Technol, Dept Earth Sci &amp; Environm, Bangi 43600, Selangor, Malaysia; [Chatterjee, Papul; Rana, Biswarup; Bandyopadhyay, Jatisankar] Vidyasagar Univ, Dept Remote Sensing &amp; GIS, Midnapore 721102, India; [Pande, Chaitanya Baliram] Univ Tenaga Nas, Inst Energy Infrastruct, Kajang 43000, Malaysia; [Pande, Chaitanya Baliram] Al Ayen Univ, Sci Res Ctr, New Era &amp; Dev Civil Engn Res Grp, Thi Qar 64001, Iraq; [Ahmed, Kaywan Othman] Tishk Int Univ, Fac Engn, Dept Civil Engn, Sulaimani, Kurdistan Regio, Iraq; [Elkhrachy, Ismail] Najran Univ, Coll Engn, Civil Engn Dept, King Abdulaziz Rd, Najran 66454, Saudi Arabia; [Radwan, Neyara] Liwa Coll, Business Fac, Ind Engn Dept, Abu Dhabi, U Arab Emirates; [Radwan, Neyara] Suez Canal Univ, Fac Engn, Dept Mech Engn, Ismailia, Egypt</t>
  </si>
  <si>
    <t>Universiti Kebangsaan Malaysia; Vidyasagar University; Universiti Tenaga Nasional; Al-Ayen University; Tishk International University; Najran University; Egyptian Knowledge Bank (EKB); Suez Canal University</t>
  </si>
  <si>
    <t>Halder, B (corresponding author), Univ Kebangsaan Malaysia, Fac Sci &amp; Technol, Dept Earth Sci &amp; Environm, Bangi 43600, Selangor, Malaysia.;Pande, CB (corresponding author), Univ Tenaga Nas, Inst Energy Infrastruct, Kajang 43000, Malaysia.;Radwan, N (corresponding author), Liwa Coll, Business Fac, Ind Engn Dept, Abu Dhabi, U Arab Emirates.</t>
  </si>
  <si>
    <t>10.1016/j.pce.2024.103745</t>
  </si>
  <si>
    <t>Pradhan, Sayantan; Hore, Samrat; Maji, Suman Kumar; Manna, Simi; Maity, Abhijit; Kundu, Pratip Kumar; Maity, Krishna; Roy, Stabak; Mitra, Saptarshi; Dam, Paulami; Mondal, Rittick; Ghorai, Suvankar; Jawed, Junaid Jibran; Dutta, Subhadeep; Das, Sandip; Mandal, Sukhendu; Mandal, Sanjib; Kati, Ahmet; Sinha, Sangram; Maity, Amit Bikram; Dolai, Tuphan Kanti; Mandal, Amit Kumar; Ince, Ikbal Agah</t>
  </si>
  <si>
    <t>Study of epidemiological behaviour of malaria and its control in the Purulia district of West Bengal, India (2016-2020)</t>
  </si>
  <si>
    <t>[Pradhan, Sayantan; Maity, Abhijit; Dam, Paulami; Mondal, Rittick; Dutta, Subhadeep; Mandal, Amit Kumar] Raiganj Univ, Dept Sericulture, Chem Biol Lab, North Dinajpur 733134, W Bengal, India; [Pradhan, Sayantan; Dolai, Tuphan Kanti] Nil Ratan Sircar Med Coll &amp; Hosp, Hematol Dept, Kolkata 700014, India; [Hore, Samrat] Tripura Univ, Dept Stat, Agartala 799022, Tripura, India; [Maji, Suman Kumar] Deben Mahata Govt Med Coll &amp; Hosp, Dist Publ Hlth Ctr, Purulia 723101, W Bengal, India; [Manna, Simi] Vidyasagar Univ, Dept Biomed Lab Sci &amp; Management, Midnapore 721102, W Bengal, India; [Kundu, Pratip Kumar] Calcutta Sch Trop Med, Coll Sq, Kolkata 700073, W Bengal, India; [Maity, Krishna] VisvaBharati Univ, Dept Stat, Bolpur 731204, W Bengal, India; [Roy, Stabak; Mitra, Saptarshi] Tripura Univ, Dept Geog &amp; Disaster Management, Agartala 799022, Tripura, India; [Ghorai, Suvankar] Raiganj Univ, Dept Microbiol, North Dinajpur 733134, W Bengal, India; [Jawed, Junaid Jibran] Presidency Univ, Sch Biotechnol, 2nd Campus, Kolkata 700156, W Bengal, India; [Das, Sandip] Netaji Subhas Open Univ, Durgapur Reg Ctr, Sch Sci, Dept Bot, Kolkata 713214, W Bengal, India; [Mandal, Sukhendu] Univ Calcutta, Dept Microbiol, Lab Mol Bacteriol, Kolkata 700019, India; [Mandal, Sanjib] Raiganj Univ, Dept Econ, North Dinajpur 733134, W Bengal, India; [Kati, Ahmet] Univ Hlth Sci, Inst Hlth Sci, Dept Biotechnol, TR-34668 Istanbul, Turkey; [Sinha, Sangram] Vivekananda Mahavidyalaya, Dept Bot, Hooghly 712405, W Bengal, India; [Maity, Amit Bikram] Deben Mahata Govt Med Coll &amp; Hosp, Dept Otorhinolaryngol, Purulia 723101, W Bengal, India; [Mandal, Amit Kumar] Raiganj Univ, Ctr Nanotechnol Sci, North Dinajpur 733134, W Bengal, India; [Ince, Ikbal Agah] Acibadem Mehmet Ali Aydinlar Univ, Sch Med, Dept Med Microbiol, TR-34752 Istanbul, Turkey</t>
  </si>
  <si>
    <t>Tripura University; Vidyasagar University; Calcutta School of Tropical Medicine (CSTM); Visva Bharati University; Tripura University; Presidency University, Kolkata; University of Calcutta; Acibadem University</t>
  </si>
  <si>
    <t>Mandal, AK (corresponding author), Raiganj Univ, Dept Sericulture, Chem Biol Lab, North Dinajpur 733134, W Bengal, India.;Dolai, TK (corresponding author), Nil Ratan Sircar Med Coll &amp; Hosp, Hematol Dept, Kolkata 700014, India.;Mandal, AK (corresponding author), Raiganj Univ, Ctr Nanotechnol Sci, North Dinajpur 733134, W Bengal, India.;Ince, IA (corresponding author), Acibadem Mehmet Ali Aydinlar Univ, Sch Med, Dept Med Microbiol, TR-34752 Istanbul, Turkey.</t>
  </si>
  <si>
    <t>10.1038/s41598-021-04399-x</t>
  </si>
  <si>
    <t>Bera, Pradip; Aher, Abhishek; Brandao, Paula; Debnath, Utsab; Dewaker, Varun; Manna, Sunil Kr; Jana, Abhimanyu; Pramanik, Chandana; Mandal, Basudev; Bera, Pulakesh</t>
  </si>
  <si>
    <t>Instigating the In Vitro Anticancer Activity of New Pyridine-Thiazole-Based Co(III), Mn(II), and Ni(II) Complexes: Synthesis, Structure, DFT, Docking, and MD Simulation Studies</t>
  </si>
  <si>
    <t>JOURNAL OF CHEMICAL INFORMATION AND MODELING</t>
  </si>
  <si>
    <t>[Bera, Pradip; Jana, Abhimanyu; Pramanik, Chandana; Mandal, Basudev; Bera, Pulakesh] Vidyasagar Univ, Post Grad Dept Chem, Panskura Banamali Coll, Midnapore East 721152, W Bengal, India; [Bera, Pradip] Kandi Raj Coll, Dept Chem, Murshidabad 742137, W Bengal, India; [Aher, Abhishek; Manna, Sunil Kr] Ctr DNA Fingerprinting &amp; Diagnost CDFD, Hyderabad 500039, Telangana, India; [Aher, Abhishek] Reg Ctr Biotechnol, Grad Studies, Faridabad 121001, Haryana, India; [Brandao, Paula] Univ Aveiro, Dept Chem, CICECO, P-3810193 Aveiro, Portugal; [Debnath, Utsab] Univ Petr &amp; Energy Studies, Sch Hlth Sci, Dehra Dun 246007, Uttarakhand, India; [Dewaker, Varun] CSIR, Med &amp; Proc Chem Div, Cent Drug Res Inst, Lucknow 226031, Uttar Pradesh, India; [Jana, Abhimanyu] Indian Inst Engn Sci &amp; Technol, Dept Chem, Howrah 711103, India; [Pramanik, Chandana] Dinabandhu Andrews Coll, Dept Chem, Kolkata 700084, W Bengal, India; [Mandal, Basudev] Shahid Matangini Hazra Govt Coll Women, Dept Chem, Midnapore East 721649, W Bengal, India; [Manna, Sunil Kr] Reg Ctr Biotechnol, Faridabad 121001, Haryana, India</t>
  </si>
  <si>
    <t>Vidyasagar University; Department of Biotechnology (DBT) India; Centre for DNA Fingerprinting &amp; Diagnostics (CDFD); Department of Biotechnology (DBT) India; Regional Centre for Biotechnology; Universidade de Aveiro; University of Petroleum &amp; Energy Studies (UPES); Council of Scientific &amp; Industrial Research (CSIR) - India; CSIR - Central Drug Research Institute (CDRI); Indian Institute of Engineering Science Technology Shibpur (IIEST); Department of Biotechnology (DBT) India; Regional Centre for Biotechnology</t>
  </si>
  <si>
    <t>Bera, P (corresponding author), Vidyasagar Univ, Post Grad Dept Chem, Panskura Banamali Coll, Midnapore East 721152, W Bengal, India.;Manna, SK (corresponding author), Ctr DNA Fingerprinting &amp; Diagnost CDFD, Hyderabad 500039, Telangana, India.;Manna, SK (corresponding author), Reg Ctr Biotechnol, Faridabad 121001, Haryana, India.</t>
  </si>
  <si>
    <t>1549-9596</t>
  </si>
  <si>
    <t>1549-960X</t>
  </si>
  <si>
    <t>10.1021/acs.jcim.1c01280</t>
  </si>
  <si>
    <t>Chemistry, Medicinal; Chemistry, Multidisciplinary; Computer Science, Information Systems; Computer Science, Interdisciplinary Applications</t>
  </si>
  <si>
    <t>Pharmacology &amp; Pharmacy; Chemistry; Computer Science</t>
  </si>
  <si>
    <t>Setiawati, Martiwi Diah; Chatterjee, Uday; Djamil, Yudha Setiawan; Alifatri, La Ode; Nandika, Muhammad Rizki; Rachman, Herlambang Aulia; Supriyadi, Indarto Happy; Hanifa, Nuraini Rahma; Muslim, Aidy M.; Eguchi, Tsuyoshi; Prayudha, Bayu; Oktaviani, Aulia; Adi, Novi Susetyo; Renyaan, Jeverson; Sulha, Siti; Wouthuyzen, Sam; Pal, Subodh Chandra; Islam, Abu Reza Md. Towfiqul; Alam, Edris; Islam, Md Kamrul</t>
  </si>
  <si>
    <t>Seribu islands in the megacities of Jakarta on the frontlines of the climate crisis</t>
  </si>
  <si>
    <t>FRONTIERS IN ENVIRONMENTAL SCIENCE</t>
  </si>
  <si>
    <t>[Setiawati, Martiwi Diah; Alifatri, La Ode; Nandika, Muhammad Rizki; Supriyadi, Indarto Happy; Prayudha, Bayu; Renyaan, Jeverson; Sulha, Siti; Wouthuyzen, Sam] Natl Res &amp; Innovat Agcy BRIN, Res Ctr Oceanog, Jakarta, Indonesia; [Chatterjee, Uday] Vidyasagar Univ, Bhatter Coll, Dept Geog, Dantan, West Bengal, India; [Djamil, Yudha Setiawan] Natl Res &amp; Innovat Agcy BRIN, Res Ctr Climate &amp; Atmosphere, Bandung, Indonesia; [Rachman, Herlambang Aulia] Univ Trunojoyo Madura, Dept Marine Sci, Bangkalan, Indonesia; [Hanifa, Nuraini Rahma; Oktaviani, Aulia] Natl Res &amp; Innovat Agcy BRIN, Res Ctr Geol Disaster, Bandung, Indonesia; [Muslim, Aidy M.] Univ Malaysia Terengganu UMT, Inst Oceanog &amp; Environm INOS, Kuala Terengganu, Malaysia; [Eguchi, Tsuyoshi] Yamaguchi Univ, Ctr Res &amp; Applicat Satellite Remote Sensing YUCARS, Ube, Japan; [Adi, Novi Susetyo] Minist Marine Affairs &amp; Fisheries MMAF, Directorate Small Isl &amp; Coastal Area Utilizat, Jakarta, Indonesia; [Sulha, Siti] Natl Res &amp; Innovat Agcy BRIN, Bur Publ Commun Gen Affairs &amp; Secretariat, Jakarta, Indonesia; [Pal, Subodh Chandra] Univ Burdwan, Dept Geog, Purba Bardhaman, India; [Islam, Abu Reza Md. Towfiqul] Begum Rokeya Univ, Dept Disaster Management, Rangpur, Bangladesh; [Islam, Abu Reza Md. Towfiqul] Daffodil Int Univ, Dept Dev Studies, Dhaka, Bangladesh; [Alam, Edris] Rabdan Acad, Fac Resilience, Abu Dhabi, U Arab Emirates; [Alam, Edris] Univ Chittagong, Dept Geog &amp; Environm Studies, Chittagong, Bangladesh; [Islam, Md Kamrul] King Faisal Univ, Coll Engn, Dept Civil &amp; Environm Engn, Al Hasa, Saudi Arabia</t>
  </si>
  <si>
    <t>National Research &amp; Innovation Agency of Indonesia (BRIN); Vidyasagar University; National Research &amp; Innovation Agency of Indonesia (BRIN); Universitas Trunojoyo Madura; National Research &amp; Innovation Agency of Indonesia (BRIN); Universiti Malaysia Terengganu; Yamaguchi University; National Research &amp; Innovation Agency of Indonesia (BRIN); University of Burdwan; Daffodil International University; University of Chittagong; King Faisal University</t>
  </si>
  <si>
    <t>Chatterjee, U (corresponding author), Vidyasagar Univ, Bhatter Coll, Dept Geog, Dantan, West Bengal, India.;Pal, SC (corresponding author), Univ Burdwan, Dept Geog, Purba Bardhaman, India.;Islam, AMT (corresponding author), Begum Rokeya Univ, Dept Disaster Management, Rangpur, Bangladesh.;Islam, AMT (corresponding author), Daffodil Int Univ, Dept Dev Studies, Dhaka, Bangladesh.</t>
  </si>
  <si>
    <t>2296-665X</t>
  </si>
  <si>
    <t>10.3389/fenvs.2023.1280268</t>
  </si>
  <si>
    <t>Saha, S; Pramanik, S; Pathak, S; Das, K; Sadhukhan, R; Ghosh, A; Goswami, DK; Lee, HM; Ortega-Castro, J; Frontera, A; Mukhopadhyay, S</t>
  </si>
  <si>
    <t>Saha, Subhajit; Pramanik, Samit; Pathak, Sudipta; Das, Kinsuk; Sadhukhan, Riya; Ghosh, Arnab; Goswami, Dipak K.; Lee, Hon Man; Ortega-Castro, Joaquin; Frontera, Antonio; Mukhopadhyay, Subrata</t>
  </si>
  <si>
    <t>Noncoordinating Anions as Key Modulators of Supramolecular Structures, Optical and Electrical Properties in Nickel(II) Complexes</t>
  </si>
  <si>
    <t>METAL-ORGANIC FRAMEWORKS; LUMINESCENT; CU(II)</t>
  </si>
  <si>
    <t>This study explores the synthesis, structural characterization, and examination of two nickel(II) complexes, [Ni(N 3 L 1 )2](NO3)2 (complex 1) and [Ni(N 3 L 1 )2](ClO4)2 (complex 2), using the newly synthesized organic heterocyclic chelating ligand N 3 L 1 [4-imidazole-2,6-di(pyrazinyl)pyridine]. Through single-crystal X-ray diffraction, we have detailed the crystal structures of these complexes, highlighting their distorted octahedral geometries and diverse supramolecular interactions including pipi stacking, anionpi, and hydrogen bonding. These interactions crucially influence the formation of distinct one- and two-dimensional supramolecular architectures. Density functional theory (DFT) calculations were utilized to probe these noncovalent interactions, revealing insights into their stereoelectronic influence and stability in the solid state. Additionally, the electronic properties of the complexes were explored through their electrical characterizations in Schottky diodes, which suggest the potential of these complexes in Schottky diode based electronic devices applications. Notably, complex 2, incorporating perchlorate anions, exhibited better electrical properties than complex 1. This work aims to elucidate the role of noncoordinating counteranions in the structural integrity and photophysical behavior of these complexes, while also providing a structure-function correlation through detailed theoretical analysis.</t>
  </si>
  <si>
    <t>[Saha, Subhajit; Pramanik, Samit; Mukhopadhyay, Subrata] Jadavpur Univ, Dept Chem, Kolkata 700032, India; [Pathak, Sudipta] Haldia Govt Coll, Dept Chem, Purba Medinipur 721657, West Bengal, India; [Das, Kinsuk] Chandernagore Coll, Dept Chem, Hooghly 712136, West Bengal, India; [Sadhukhan, Riya; Goswami, Dipak K.] Indian Inst Technol Kharagpur, Dept Phys, Organ Elect Lab, Kharagpur 721302, India; [Ghosh, Arnab] Vidyasagar Univ, Belda Coll, Dept Phys, Belda 721424, West Bengal, India; [Ghosh, Arnab] Vidyasagar Univ, Belda Coll, Nat Sci Res Ctr, Belda 721424, West Bengal, India; [Lee, Hon Man] Natl Changhua Univ Educ, Dept Chem, Changhua 50058, Taiwan; [Ortega-Castro, Joaquin; Frontera, Antonio] Univ Illes Balears, Dept Quim, Palma De Mallorca 07122, Spain</t>
  </si>
  <si>
    <t>Jadavpur University; Indian Institute of Technology System (IIT System); Indian Institute of Technology (IIT) - Kharagpur; Vidyasagar University; Vidyasagar University; National Changhua University of Education; Universitat de les Illes Balears</t>
  </si>
  <si>
    <t>Mukhopadhyay, S (corresponding author), Jadavpur Univ, Dept Chem, Kolkata 700032, India.;Frontera, A (corresponding author), Univ Illes Balears, Dept Quim, Palma De Mallorca 07122, Spain.</t>
  </si>
  <si>
    <t>10.1021/acsomega.4c06270</t>
  </si>
  <si>
    <t>Ahmadianfar, Iman; Halder, Bijay; Heddam, Salim; Goliatt, Leonardo; Tan, Mou Leong; Sa'adi, Zulfaqar; Al-Khafaji, Zainab; Homod, Raad Z.; Rashid, Tarik A.; Yaseen, Zaher Mundher</t>
  </si>
  <si>
    <t>An Enhanced Multioperator Runge-Kutta Algorithm for Optimizing Complex Water Engineering Problems</t>
  </si>
  <si>
    <t>[Ahmadianfar, Iman] Behbahan Khatam Alanbia Univ Technol, Dept Civil Engn, Behbahan 6361663973, Iran; [Halder, Bijay] Vidyasagar Univ, Dept Remote Sensing &amp; GIS, Midnapore 721102, India; [Heddam, Salim] Hydraul Div Univ, Fac Sci, Agron Dept, 20 Aout 1955,Route El Hadaik,BP 26, Skikda 21024, Algeria; [Goliatt, Leonardo] Univ Fed Juiz de Fora, Computat Modeling Program, BR-36036900 Juiz De Fora, MG, Brazil; [Tan, Mou Leong] Univ Sains Malaysia, Sch Humanities, GeoInformat Unit, Geog Sect, George Town 11800, Minden, Malaysia; [Sa'adi, Zulfaqar] Univ Teknol Malaysia UTM, Fac Engn, Ctr Environm Sustainabil &amp; Water Secur IPASA, Sch Civil Engn, Sekudai 81310, Johor, Malaysia; [Al-Khafaji, Zainab] AL Mustaqbal Univ Coll, Dept Bldg &amp; Construct Technol Engn, Hillah 51001, Iraq; [Homod, Raad Z.] Basrah Univ Oil &amp; Gas, Dept Oil &amp; Gas Engn, Basrah 61004, Iraq; [Rashid, Tarik A.] Univ Kurdistan Helwer, Dept Comp Sci &amp; Engn, Erbil 44001, Iraq; [Yaseen, Zaher Mundher] King Fahd Univ Petr &amp; Minerals, Civil &amp; Environm Engn Dept, Dhahran 31261, Saudi Arabia</t>
  </si>
  <si>
    <t>Vidyasagar University; Universidade Federal de Juiz de Fora; Universiti Sains Malaysia; Universiti Teknologi Malaysia; Al-Mustaqbal University College; Basrah University for Oil &amp; Gas; King Fahd University of Petroleum &amp; Minerals</t>
  </si>
  <si>
    <t>Ahmadianfar, I (corresponding author), Behbahan Khatam Alanbia Univ Technol, Dept Civil Engn, Behbahan 6361663973, Iran.;Yaseen, ZM (corresponding author), King Fahd Univ Petr &amp; Minerals, Civil &amp; Environm Engn Dept, Dhahran 31261, Saudi Arabia.</t>
  </si>
  <si>
    <t>10.3390/su15031825</t>
  </si>
  <si>
    <t>Jana, C; Simic, V; Pal, M; Sarkar, B; Pamucar, D</t>
  </si>
  <si>
    <t>Jana, Chiranjibe; Simic, Vladimir; Pal, Madhumangal; Sarkar, Biswajit; Pamucar, Dragan</t>
  </si>
  <si>
    <t>Hybrid multi-criteria decision-making method with a bipolar fuzzy approach and its applications to economic condition analysis</t>
  </si>
  <si>
    <t>Bipolar fuzzy number; Bipolar fuzzy hybrid operators; Aggregation operators; Economic sectors; Multi-criteria decision-making</t>
  </si>
  <si>
    <t>AGGREGATION OPERATORS; SET</t>
  </si>
  <si>
    <t>The bipolar fuzzy set and interval-valued bipolar fuzzy set efficiently analyse real -world problems where for each input of an object, there has counter information. This study's main objective is to lay a foundation for considering a new approach to the bipolar fuzzy hybrid operators tool applied in a realistic frame that contains uncertainties. In this view, some mixed aggregation operators, namely, the hybrid bipolar fuzzy weighted averaging geometric (H-BFWAG), hybrid bipolar fuzzy order weighted averaging geometric (H-BFOWAG), hybrid interval-valued bipolar fuzzy weighted averaging geometric (H-IVBFWAG), and hybrid interval-valued bipolar fuzzy order weighted averaging geometric (H-IVBFOWAG) operators are generated in bipolar fuzzy environment. A decision making approach is developed to build the multi-criteria decision making model. A numerical example is considered to study the different effects on various Indian economic sectors in the COVID-19 environment. Managerial implications are highlighted in between many industrial sectors on which the Indian economy depends and the country's gross domestic product depends on their inter-relationship. This study investigates COVID-19's impact on society and the economy in the Indian context. A comparative investigation is introduced with some pre-existing operators and the TOPSIS (technique for order of preference by similarity to ideal solution) approach to justify the proposed method.</t>
  </si>
  <si>
    <t>[Jana, Chiranjibe] Saveetha Inst Med &amp; Tech Sci SIMATS, Saveetha Sch Engn, Chennai 602105, Tamil Nadu, India; [Simic, Vladimir] Univ Belgrade, Fac Transport &amp; Traff Engn, VojvodeStepe 305, Belgrade 11010, Serbia; [Simic, Vladimir] Yuan Ze Univ, Coll Engn, Dept Ind Engn &amp; Management, Taoyuan 320315, Taiwan; [Pal, Madhumangal] Vidyasagar Univ, Dept Appl Math Oceanol &amp; Comp Programming, Midnapore 721102, India; [Sarkar, Biswajit] Yonsei Univ, Dept Ind Engn, 50 Yonsei Ro,Sinchon Dong, Seoul 03722, South Korea; [Sarkar, Biswajit] Saveetha Univ, Saveetha Inst Med &amp; Tech Sci, Saveetha Med Coll, Ctr Global Hlth Res, Chennai 600077, Tamil Nadu, India; [Sarkar, Biswajit] Natl Taipei Univ Technol, Dept Ind Engn &amp; Management, Taipei, Taiwan; [Pamucar, Dragan] Univ Belgrade, Fac Org Sci, Dept Operat Res &amp; Stat, Belgrade, Serbia; [Pamucar, Dragan] Lebanese Amer Univ, Dept Comp Sci &amp; Math, Byblos 11022801, Lebanon</t>
  </si>
  <si>
    <t>Saveetha Institute of Medical &amp; Technical Science; Saveetha School of Engineering; University of Belgrade; Yuan Ze University; Vidyasagar University; Yonsei University; Saveetha Institute of Medical &amp; Technical Science; Saveetha Medical College &amp; Hospital; National Taipei University of Technology; University of Belgrade; Lebanese American University</t>
  </si>
  <si>
    <t>Sarkar, B (corresponding author), Yonsei Univ, Dept Ind Engn, 50 Yonsei Ro,Sinchon Dong, Seoul 03722, South Korea.</t>
  </si>
  <si>
    <t>10.1016/j.engappai.2023.107837</t>
  </si>
  <si>
    <t>Das, Narasingha; Murshed, Muntasir; Rej, Soumen; Bandyopadhyay, Arunava; Hossain, Md Emran; Mahmood, Haider; Dagar, Vishal; Bera, Pinki</t>
  </si>
  <si>
    <t>Can clean energy adoption and international trade contribute to the achievement of India's 2070 carbon neutrality agenda? Evidence using quantile ARDL measures</t>
  </si>
  <si>
    <t>[Das, Narasingha] Economists Peace &amp; Secur Australia Chapter, Res Associate, Sydney, NSW, Australia; [Murshed, Muntasir] North South Univ, Sch Business &amp; Econ, Dhaka, Bangladesh; [Murshed, Muntasir] Daffodil Int Univ, Dept Journalism Media &amp; Commun, Dhaka, Bangladesh; [Rej, Soumen] Univ Petr &amp; Energy Studies, Sch Business, Dehra Dun, Uttarakhand, India; [Rej, Soumen; Bandyopadhyay, Arunava] Indian Inst Technol Kharagpur, Vinod Gupta Sch Management, Kharagpur, W Bengal, India; [Hossain, Md Emran] Bangladesh Agr Univ, Dept Agr Finance &amp; Banking, Mymensingh, Bangladesh; [Mahmood, Haider] Prince Sattam Bin Abdulaziz Univ, Coll Business Adm, Dept Finance, Alkharj, Saudi Arabia; [Dagar, Vishal] Great Lakes Inst Management, Dept Econ &amp; Publ Policy, Gurgaon, Haryana, India; [Bera, Pinki] Vidyasagar Univ, Dept Econ, Midnapore, India; [Bandyopadhyay, Arunava] OP Jindal Global Business Univ, Jindal Global Business Sch, Sonipat, Haryana, India</t>
  </si>
  <si>
    <t>North South University (NSU); Daffodil International University; University of Petroleum &amp; Energy Studies (UPES); Indian Institute of Technology System (IIT System); Indian Institute of Technology (IIT) - Kharagpur; Bangladesh Agricultural University (BAU); Prince Sattam Bin Abdulaziz University; Vidyasagar University; O.P. Jindal Global University</t>
  </si>
  <si>
    <t>Murshed, M (corresponding author), Daffodil Int Univ, Dept Journalism Media &amp; Commun, Dhaka, Bangladesh.;Hossain, ME (corresponding author), Bangladesh Agr Univ, Dept Agr Finance &amp; Banking, Mymensingh, Bangladesh.</t>
  </si>
  <si>
    <t>10.1080/13504509.2022.2139780</t>
  </si>
  <si>
    <t>Pradhan, Sayantan; Hore, Samrat; Roy, Stabak; Manna, Simi; Dam, Paulami; Mondal, Rittick; Ghati, Amit; Biswas, Trishanjan; Shaw, Subhajit; Sharma, Supriya; Singh, Waikhom Somraj; Maji, Suman Kumar; Roy, Sankarsan; Basu, Aparajita; Pandey, Kailash C.; Samanta, Soumadri; Vashisht, Kapil; Dolai, Tuphan Kanti; Kundu, Pratip Kumar; Mitra, Saptarshi; Biswas, Debasish; Sadat, Abdul; Shokriyan, Masuma; Maity, Amit Bikram; Mandal, Amit Kumar; Ince, Ikbal Agah</t>
  </si>
  <si>
    <t>Geo-environmental factors and the effectiveness of mulberry leaf extract in managing malaria</t>
  </si>
  <si>
    <t>[Pradhan, Sayantan; Dam, Paulami; Mondal, Rittick; Biswas, Trishanjan; Shaw, Subhajit; Sadat, Abdul; Maity, Amit Bikram] Raiganj Univ, Dept Sericulture, North Dinajpur 733134, W Bengal, India; [Pradhan, Sayantan; Dolai, Tuphan Kanti] Nil Ratan Sircar Med Coll &amp; Hosp, Hematol Dept, Kolkata 700014, India; [Hore, Samrat] Tripura Univ, Dept Stat, Agartala 799022, Tripura, India; [Manna, Simi] Tripura Univ, Dept Geog &amp; Disaster Management, Agartala 799022, Tripura, India; [Manna, Simi] Vidyasagar Univ, Dept Biomed Lab Sci &amp; Management, Midnapore 721102, W Bengal, India; [Ghati, Amit] Barrackpore Rastraguru Surendranath Coll, Dept Microbiol, Barakpur 700120, W Bengal, India; [Sharma, Supriya; Pandey, Kailash C.; Vashisht, Kapil] ICMR Natl Inst Malaria Res, Sect 8, New Delhi 110077, India; [Singh, Waikhom Somraj] Tripura Univ, Dept Pharm, Agartala 799022, Tripura, India; [Maji, Suman Kumar] Deben Mahata Govt Med Coll &amp; Hosp, Dist Publ Hlth Ctr, Purulia 723101, W Bengal, India; [Roy, Sankarsan] Off Chief Med Officer Hlth, PH &amp; CD Branch, Purulia 723101, W Bengal, India; [Basu, Aparajita] Univ Calcutta, Dept Microbiol, Kolkata 700019, W Bengal, India; [Samanta, Soumadri] Inst Nano Sci &amp; Technol INST, Energy &amp; Environm Unit, Adv Funct Nanomat, Phase X, Mohali 160062, Punjab, India; [Kundu, Pratip Kumar] Santiniketan Med Coll, Dept Microbiol, Birbhum 731204, W Bengal, India; [Biswas, Debasish] Raiganj Univ, Dept Econ, North Dinajpur 733134, W Bengal, India; [Shokriyan, Masuma; Ince, Ikbal Agah] Acibadem Mehmet Ali Aydinlar Univ, Sch Med, Dept Med Microbiol, TR-34752 Istanbul, Turkiye; [Maity, Amit Bikram] Inst Post Grad Med Educ &amp; Res, SSKM Hosp, Dept Otorhinolaryngol, Kolkata 700020, W Bengal, India; [Mandal, Amit Kumar] Raiganj Univ, Ctr Nanotechnol Sci, North Dinajpur 733134, W Bengal, India</t>
  </si>
  <si>
    <t>Tripura University; Tripura University; Vidyasagar University; Indian Council of Medical Research (ICMR); ICMR - National Institute of Malaria Research (NIMR); Tripura University; University of Calcutta; Department of Science &amp; Technology (India); Institute of Nano Science &amp; Technology (INST); Acibadem University; Institute of Post Graduate Medical Education &amp; Research (IPGMER), Kolkata</t>
  </si>
  <si>
    <t>Maity, AB (corresponding author), Raiganj Univ, Dept Sericulture, North Dinajpur 733134, W Bengal, India.;Ince, IA (corresponding author), Acibadem Mehmet Ali Aydinlar Univ, Sch Med, Dept Med Microbiol, TR-34752 Istanbul, Turkiye.;Maity, AB (corresponding author), Inst Post Grad Med Educ &amp; Res, SSKM Hosp, Dept Otorhinolaryngol, Kolkata 700020, W Bengal, India.;Mandal, AK (corresponding author), Raiganj Univ, Ctr Nanotechnol Sci, North Dinajpur 733134, W Bengal, India.</t>
  </si>
  <si>
    <t>10.1038/s41598-023-41668-3</t>
  </si>
  <si>
    <t>Mondal, I; Naskar, PK; Alsulamy, S; Jose, F; Hossain, SA; Mohammad, L; De, TK; Khedher, KM; Salem, MA; Benzougagh, B; Juliev, M</t>
  </si>
  <si>
    <t>Mondal, Ismail; Naskar, Pijush Kanti; Alsulamy, Saleh; Jose, Felix; Hossain, SK. Ariful; Mohammad, Lal; De, Tarun Kumar; Khedher, Khaled Mohamed; Salem, Mohamed Abdelaziz; Benzougagh, Brahim; Juliev, Mukhiddin</t>
  </si>
  <si>
    <t>Habitat quality and degradation change analysis for the Sundarbans mangrove forest using invest habitat quality model and machine learning</t>
  </si>
  <si>
    <t>Habitat quality; Ecosystem conservation; Sundarbans; InVEST; Remote sensing; Machine learning; ANN model</t>
  </si>
  <si>
    <t>SUITABILITY; CITY</t>
  </si>
  <si>
    <t>The startling rate of biodiversity loss, particularly in ecologically delicate coastal environments, is a major environmental concern facing the globe today. As sustainable exploitation of natural resources, including timber and other forest products from tropical rainforests and mangrove habitats, is crucial this research will examine the factors and processes that degrade mangrove habitats -in terms of their health and resilience -and suggest ways to reduce human impact. The study evaluates the evolution of Sundarbans-the largest contiguous mangrove forest in the world-coastal habitat quality from 2017 to 2022 using the InVEST and machine learning-based ANN model. The mangrove habitat sustained heavy destruction, including structural damage from the landfall of cyclone Amphan in May 2020. Spatial auto-correlation method and Geotagging were employed for location-dependent habitat quality analysis. Study demonstrates that habitat quality and degradation vary significantly across the Sundarbans mangrove forest provinces, particularly for habitat quality spatial distribution and their degradation. Important determinants for habitat quality are per capita water usage, night-time light index (proxy for population density), forest area, and prevalence of fragmented and degrading forest area. All factor pairings are bifactor or non-linear enhanced, showing that impact of two variables combined is more powerful than one alone in determining ecosystem quality and degeneration. In particular, forest land coverage and per capita water consumption have strong correlations with the habitat quality in the region. Geographical disparity of habitat quality and its probable causes suggests an urgent need for system-wide approach in implementing conservation and restoration measures for preserving Sundarbans mangroves, which spread across the international boundary between India and Bangladesh.</t>
  </si>
  <si>
    <t>[Mondal, Ismail; Naskar, Pijush Kanti; De, Tarun Kumar] Univ Calcutta, Dept Marine Sci, Kolkata 700019, West Bengal, India; [Alsulamy, Saleh] King Khalid Univ, Coll Engn, Dept Architecture &amp; Planning, Abha 61421, Saudi Arabia; [Jose, Felix] Florida Gulf Coast Univ, Dept Marine &amp; Earth Sci, Ft Myers, FL USA; [Hossain, SK. Ariful] Jadavpur Univ, Sch Oceanog Studies, Kolkata 700032, India; [Mohammad, Lal] Vidyasagar Univ, Dept Remote Sensing &amp; GIS, Midnapore 721102, West Bengal, India; [Khedher, Khaled Mohamed] King Khalid Univ, Dept Civil Engn, Abha, Saudi Arabia; [Salem, Mohamed Abdelaziz] King Khalid Univ, Coll Engn, Dept Ind Engn, Abha 61421, Saudi Arabia; [Benzougagh, Brahim] Mohammed V Univ Rabat, Sci Inst, Dept Geomorphol &amp; Geomat, Ave Ibn Battouta,Agdal PB 703, Rabat 10106, Morocco; [Juliev, Mukhiddin] TIIAME Natl Res Univ, Inst Fundamental &amp; Appl Res, Kori Niyoziy 39, Tashkent 100000, Uzbekistan; [Juliev, Mukhiddin] New Uzbekistan Univ, Mustaqillik Ave 54, Tashkent 100007, Uzbekistan; [Juliev, Mukhiddin] Turin Polytech Univ Tashkent, Little Ring Rd St 17, Tashkent 100095, Uzbekistan</t>
  </si>
  <si>
    <t>University of Calcutta; King Khalid University; State University System of Florida; Florida Gulf Coast University; Jadavpur University; Vidyasagar University; King Khalid University; King Khalid University; Mohammed V University in Rabat; Tashkent Institute of Irrigation &amp; Agricultural Mechanization Engineers; Turin Polytechnic University Tashkent</t>
  </si>
  <si>
    <t>Mondal, I (corresponding author), Univ Calcutta, Dept Marine Sci, Kolkata 700019, West Bengal, India.</t>
  </si>
  <si>
    <t>10.1007/s10668-024-05257-2</t>
  </si>
  <si>
    <t>Halder, B; Rana, B; Juneng, L; Pande, CB; Alshehery, S; Elsahabi, M; Yadav, KK; Sammen, SS; Naganna, SR</t>
  </si>
  <si>
    <t>Halder, Bijay; Rana, Biswarup; Juneng, Liew; Pande, Chaitanya Baliram; Alshehery, Sultan; Elsahabi, Mohamed; Yadav, Krishna Kumar; Sammen, Saad Sh.; Naganna, Sujay Raghavendra</t>
  </si>
  <si>
    <t>Cloud computing-based estimation of Peninsular India's long-term climate change impacts on rainfall, surface temperature, and geospatial indices</t>
  </si>
  <si>
    <t>Climate change; droughts; land surface temperature; rainfall anomaly; vegetation condition; Google earth engine</t>
  </si>
  <si>
    <t>SUMMER MONSOON; RIVER-BASIN; PRECIPITATION; VARIABILITY; DROUGHTS; PERFORMANCE</t>
  </si>
  <si>
    <t>Realizing the intricate relationships between drought, vegetation dynamics, and climate change is essential for sustainable resource management. Although temperature and rainfall patterns are the primary determinants of these fluctuations, human activity also plays a significant role. Recent decades have witnessed significant climate change events, particularly in peninsular India. Analyzing these year-by-year variations in rainfall and temperature is essential for informed decision-making. This knowledge can guide the development of innovative adaptation strategies to ensure sustainable livelihoods in the region. This study utilizes the Google Earth Engine platform to analyze yearly climate data and relevant geographical indices from 2003 to 2023 across Peninsular India. The analysis reveals a statistically significant increase in mean annual rainfall (0.262 mm/year) alongside a slight rise in regional land surface temperature (LST) trends (0.102 degrees C/year). However, yearly average anomaly values for LST also show an upward trend, rising from 2.56 in 2003 to 3.23 in 2023. This suggests a potential shift in rainfall patterns, with potential consequences for water availability. Rising temperatures coupled with altered rainfall patterns can lead to water scarcity, especially in regions reliant on rain-fed agriculture. This has a direct impact on crop yields and overall agricultural productivity. Despite rising temperatures, the analysis using drought indices suggests a decline in average annual drought severity across Peninsular India, with values decreasing from 0.33 in 2003 to 2.70 in 2023. Interestingly, we found a strong positive association between rainfall and vegetation indices, while rainfall and LST exhibited a negative correlation. Interestingly, while rainfall and LST exhibited a negative correlation, a strong positive association was found between rainfall and vegetation indices. These comprehensive findings hold significant potential for informing future climate projections and promoting sustainable development in peninsular India through evidence-based applications.</t>
  </si>
  <si>
    <t>[Halder, Bijay; Juneng, Liew] Univ Kebangsaan Malaysia, Fac Sci &amp; Technol, Dept Earth Sci &amp; Environm, Bangi, Malaysia; [Rana, Biswarup] Vidyasagar Univ, Dept Remote Sensing &amp; GIS, Midnapore, India; [Pande, Chaitanya Baliram] Univ Tenaga Nas, Inst Energy Infrastructure, Kajang, Malaysia; [Pande, Chaitanya Baliram] Al Ayen Univ, Sci Res Ctr, New Era &amp; Dev Civil Engn Res Grp, Nasiriyah, Iraq; [Alshehery, Sultan] King Khalid Univ, Dept Mech Engn, Abha, Saudi Arabia; [Elsahabi, Mohamed] Aswan Univ, Fac Engn, Civil Engn Dept, Aswan, Egypt; [Yadav, Krishna Kumar] Madhyanchal Profess Univ, Fac Sci &amp; Technol, Ratibad, India; [Sammen, Saad Sh.] Diyala Univ, Coll Engn, Dept Civil Engn, Baqubah, Iraq; [Naganna, Sujay Raghavendra] Manipal Acad Higher Educ, Manipal Inst Technol Bengaluru, Dept Civil Engn, Manipal, India</t>
  </si>
  <si>
    <t>Universiti Kebangsaan Malaysia; Vidyasagar University; Universiti Tenaga Nasional; Al-Ayen University; King Khalid University; Egyptian Knowledge Bank (EKB); Aswan University; University of Diyala; Manipal Academy of Higher Education (MAHE)</t>
  </si>
  <si>
    <t>Naganna, SR (corresponding author), Manipal Acad Higher Educ, Manipal Inst Technol Bengaluru, Dept Civil Engn, Manipal, India.</t>
  </si>
  <si>
    <t>10.1080/19475705.2024.2381635</t>
  </si>
  <si>
    <t>Halder, K; Ghosh, A; Srivastava, AK; Pal, SC; Chatterjee, U; Bisai, D; Ewert, F; Gaiser, T; Islam, AMT; Alam, E; Islam, MK</t>
  </si>
  <si>
    <t>Halder, Krishnagopal; Ghosh, Anitabha; Srivastava, Amit Kumar; Pal, Subodh Chandra; Chatterjee, Uday; Bisai, Dipak; Ewert, Frank; Gaiser, Thomas; Islam, Abu Reza Md. Towfiqul; Alam, Edris; Islam, Md Kamrul</t>
  </si>
  <si>
    <t>SAR-driven flood inventory and multi-factor ensemble susceptibility modelling using machine learning frameworks</t>
  </si>
  <si>
    <t>Disaster management; Flood susceptibility; Google Earth Engine; Machine learning; Python</t>
  </si>
  <si>
    <t>PERFORMANCE</t>
  </si>
  <si>
    <t>Climate change has substantially increased both the occurrence and intensity of flood events, particularly in the Indian subcontinent, exacerbating threats to human populations and economic infrastructure. The present research employed novel ML models-LR, SVM, RF, XGBoost, DNN, and Stacking Ensemble-developed in the Python environment and leveraged 18 flood-influencing factors to delineate flood-prone areas with precision. A comprehensive flood inventory, obtained from Sentinel-1 Synthetic Aperture Radar (SAR) data using the Google Earth Engine (GEE) platform, provided empirical data for entire model training and validation. Model performance was assessed using precision, recall, F1-score, accuracy, and ROC-AUC metrics. The results highlighted Stacking Ensemble's superior predictive ability (0.965), followed closely by, XGBoost (0.934), DNN (0.929), RF (0.925), LR (0.921), and SVM (0.920) respectively, establishing the feasibility of ML applications in disaster management. The maps depicting susceptibility to flooding generated by the current research provide actionable insights for decision-makers, city planners, and authorities responsible for disaster management, guiding infrastructural and community resilience enhancements against flood risks.</t>
  </si>
  <si>
    <t>[Halder, Krishnagopal] Vidyasagar Univ, Dept Remote Sensing &amp; GIS, Midnapore, W Bengal, India; [Halder, Krishnagopal] Indian Inst Technol Roorkee, Ctr Excellence Disaster Mitigat &amp; Management CoEDM, Roorkee, Uttarakhand, India; [Ghosh, Anitabha; Chatterjee, Uday; Bisai, Dipak] Vidyasagar Univ, Egra SSB Coll, Coastal Environm Studies Res Ctr, Kharagpur, W Bengal, India; [Srivastava, Amit Kumar; Ewert, Frank; Gaiser, Thomas] Univ Bonn, Inst Crop Sci &amp; Resource Conservat, Bonn, Germany; [Srivastava, Amit Kumar; Ewert, Frank] Leibniz Ctr Agr Landscape Res ZALF, Muncheberg, Germany; [Pal, Subodh Chandra] Univ Burdwan, Dept Geog, Purba Bardhaman, W Bengal, India; [Chatterjee, Uday] Bhatter Coll, Dept Geog, Kharagpur, W Bengal, India; [Islam, Abu Reza Md. Towfiqul] Begum Rokeya Univ, Dept Disaster Management, Rangpur, Bangladesh; [Islam, Abu Reza Md. Towfiqul] Daffodil Int Univ, Dept Dev Studies, Dhaka, Bangladesh; [Alam, Edris] Rabdan Acad, Fac Resilience, Abu Dhabi, U Arab Emirates; [Alam, Edris] Univ Chittagong, Dept Geog &amp; Environm Studies, Chittagong, Bangladesh; [Islam, Md Kamrul] King Faisal Univ, Dept Civil &amp; Environm Engn, Coll Engn, Al Hufuf 31982, Saudi Arabia</t>
  </si>
  <si>
    <t>Vidyasagar University; Indian Institute of Technology System (IIT System); Indian Institute of Technology (IIT) - Roorkee; Vidyasagar University; University of Bonn; Leibniz Association; Leibniz Zentrum fur Agrarlandschaftsforschung (ZALF); University of Burdwan; Daffodil International University; University of Chittagong; King Faisal University</t>
  </si>
  <si>
    <t>Srivastava, AK (corresponding author), Univ Bonn, Inst Crop Sci &amp; Resource Conservat, Bonn, Germany.;Srivastava, AK (corresponding author), Leibniz Ctr Agr Landscape Res ZALF, Muncheberg, Germany.;Pal, SC (corresponding author), Univ Burdwan, Dept Geog, Purba Bardhaman, W Bengal, India.</t>
  </si>
  <si>
    <t>10.1080/19475705.2024.2409202</t>
  </si>
  <si>
    <t>Barai, M; Manna, E; Sultana, H; Mandal, MK; Manna, T; Patra, A; Roy, B; Gowda, V; Chang, CH; Akentiev, AV; Bykov, AG; Noskov, BA; Moitra, P; Ghosh, C; Yusa, SI; Bhattacharya, S; Panda, AK</t>
  </si>
  <si>
    <t>Barai, Manas; Manna, Emili; Sultana, Habiba; Mandal, Manas Kumar; Manna, Tuhin; Patra, Anuttam; Roy, Biplab; Gowda, Vasantha; Chang, Chien-Hsiang; Akentiev, Alexander V.; Bykov, Alexey G.; Noskov, Boris A.; Moitra, Parikshit; Ghosh, Chandradipa; Yusa, Shin-Ichi; Bhattacharya, Santanu; Kumar Panda, Amiya</t>
  </si>
  <si>
    <t>Physicochemical Studies on Amino Acid Based Metallosurfactants in Combination with Phospholipid</t>
  </si>
  <si>
    <t>cytotoxicity; drug delivery; hybrid vesicle; metallosurfactants; monolayer</t>
  </si>
  <si>
    <t>MIXED MONOLAYERS; VESICLE; CALCIUM; SURFACTANT; MICELLES; NANOPARTICLES; STABILITY; PHASE; FLOCCULATION; CHOLESTEROL</t>
  </si>
  <si>
    <t>Dicarboxylate metallosurfactants (AASM), synthesized by mixing N-dodecyl aminomalonate, -aspartate and -glutamate with CaCl2, MnCl2 and CdCl2, were characterized by XRD, FTIR, and NMR spectroscopy. Layered structures, formed by metallosurfactants, were evidenced from differential scanning calorimetry and thermogravimetric analyses. Solvent-spread monolayer of AASM in combination with soyphosphatidylcholine (SPC) and cholesterol (CHOL) were studied using Langmuir surface balance. With increasing mole fraction of AASM mean molecular area increased and passed through maxima at similar to 60 mol% of AASMs, indicating molecular packing reorganization. Systems with 20 and 60 mol% AASM exhibited positive deviations from ideal behavior signifying repulsive interaction between the AASM and SPC, while synergistic interactions were established from the negative deviation at other combinations. Dynamic surface elasticity increased with increasing surface pressure signifying formation of rigid monolayer. Transition of monolayer from gaseous to liquid expanded to liquid condensed state was established by Brewster angle microscopic studies. Stability of the hybrid vesicles, formed by AASM+SPC+CHOL, were established by monitoring their size, zeta potential and polydispersity index values over 100 days. Size and spherical morphology of hybrid vesicles were confirmed by transmission electron microscopic studies. Biocompatibility of the hybrid vesicles were established by cytotoxicity studies revealing their possible applications in drug delivery and imaging.</t>
  </si>
  <si>
    <t>[Barai, Manas; Sultana, Habiba; Mandal, Manas Kumar; Kumar Panda, Amiya] Vidyasagar Univ, Dept Chem, Midnapore 721102, W Bengal, India; [Barai, Manas; Patra, Anuttam; Roy, Biplab] Lulea Univ Technol, Chem Interfaces Grp, SE-97187 Lulea, Sweden; [Manna, Emili] Vidyasagar Univ, Ctr Life Sci, Midnapore 721102, W Bengal, India; [Manna, Tuhin; Ghosh, Chandradipa] Vidyasagar Univ, Dept Human Physiol, Midnapore 721102, W Bengal, India; [Gowda, Vasantha] Malmo Univ, Dept Biomed Sci, SE-20506 Malmo, Sweden; [Chang, Chien-Hsiang] Natl Cheng Kung Univ, Dept Chem Engn, Tainan, Taiwan; [Akentiev, Alexander V.; Bykov, Alexey G.; Noskov, Boris A.] St Petersburg State Univ, Dept Colloid Chem, Univ Pr St Petersburg 26, St Petersburg 198504, Russia; [Moitra, Parikshit] IISER, Dept Chem Sci, Berhampur, Odisha, India; [Yusa, Shin-Ichi] Univ Hyogo, Grad Sch Engn, Dept Appl Chem, Himeji, Hyogo 6712280, Japan; [Bhattacharya, Santanu] Indian Inst Sci, Dept Organ Chem, Bangalore 560012, Karnataka, India; [Bhattacharya, Santanu] Indian Inst Sci Educ &amp; Res, Tirupati 517507, Andhra Pradesh, India</t>
  </si>
  <si>
    <t>Vidyasagar University; Lulea University of Technology; Vidyasagar University; Vidyasagar University; Malmo University; National Cheng Kung University; Saint Petersburg State University; Indian Institute of Science Education &amp; Research (IISER) - Berhampur; University of Hyogo; Indian Institute of Science (IISC) - Bangalore; Indian Institute of Science Education &amp; Research (IISER) - Tirupati</t>
  </si>
  <si>
    <t>10.1002/asia.202400284</t>
  </si>
  <si>
    <t>Khatun, R; Das, D; Khorat, S; Aziz, SM; Anand, P; Mohan, M; Khan, A; Niyogi, D; Santamourish, M</t>
  </si>
  <si>
    <t>Khatun, Rupali; Das, Debashish; Khorat, Samiran; Aziz, Sk Mohammad; Anand, Prashant; Mohan, Manju; Khan, Ansar; Niyogi, Dev; Santamourish, Mattheos</t>
  </si>
  <si>
    <t>Urban scale rooftop super cool broadband radiative coolers in humid conditions</t>
  </si>
  <si>
    <t>BUILDING SIMULATION</t>
  </si>
  <si>
    <t>tropical urban climate; extreme urban heat; urban heat mitigation; radiative cooler; WRF-urban model</t>
  </si>
  <si>
    <t>CANOPY MODEL; HEAT-ISLAND; SURFACE; PARAMETERIZATION; SIMULATION</t>
  </si>
  <si>
    <t>The presence of water molecules in the air can impact how super cool broadband radiative coolers behave. Higher humidity in the lower atmosphere traps infrared radiation, reducing heat sent back to outer space. In this study, a mesoscale urban climate model is used to evaluate the newly developed super cool materials with broadband emissivity not selective in atmospheric window as an arsenal for urban heat management of tropical wet and dry cities like Kolkata. The results suggest that the energy balance over urban domain has substantially been altered by the city scale deployment of super cool broadband radiative cooling materials on the building rooftop. Bowen ratio and evaporative fraction values were found decreasing and increasing, respectively with a positive directional polynomial (R2 = 0.968) relationship, after the implementation of super cool broadband radiative cooling materials and in comparison, to the unmitigated scenario. At high solar hour (14:00 LT), additional thermal variables of urban domain such as 2 m air temperature, surface skin temperature, urban canopy temperature, and roof surface temperature decrease by 2.3 degrees C, 5.4 degrees C, 0.8 degrees C, and 31.7 degrees C, respectively. Reflective super cool broadband materials achieve sub-ambient temperatures up to 11.7 degrees C during peak hours, reduce surface wind speed by 2.5 m s-1, and lower the planetary boundary layer by 1475 m. The average daytime drop is approximately 7.3 degrees C, and at night, it is close to 2.4 degrees C. Deployment induces a regional high over urban areas, disrupting sea breeze onset and lowering the planetary boundary layer. Finally, an optimal cooling performance for super cool broadband radiative coolers can be achieved in lower humidity conditions, as their efficiency decreases with increased humidity. Though needing further investigation, these findings of nano-science-based super cool broadband materials offer valuable insights for policymakers and urban planners addressing thermal management in densely packed tropical urban environments.</t>
  </si>
  <si>
    <t>[Khatun, Rupali; Khorat, Samiran] Jadavpur Univ, Sch Environm Studies, Kolkata, India; [Das, Debashish] Jadavpur Univ, Dept Architecture, Kolkata, India; [Aziz, Sk Mohammad] Vidyasagar Univ, Narajole Raj Coll, Dept Chem, Midnapore, India; [Anand, Prashant] Indian Inst Technol, Dept Architecture &amp; Reg Planning, Kharagpur, India; [Mohan, Manju] Indian Inst Technol, Ctr Atmospher Sci, Delhi, India; [Khan, Ansar] Univ Calcutta, Lalbaba Coll, Dept Geog, Kolkata, India; [Niyogi, Dev] Univ Texas Austin, Jackson Sch Geosci, Dept Earth &amp; Planetary Sci, Austin, TX USA; [Niyogi, Dev] Univ Texas Austin, Cockrell Sch Engn, Fariborz Maseeh Dept Civil Architectural &amp; Environ, Austin, TX USA; [Santamourish, Mattheos] Univ New South Wales, Sch Built Environm, Sydney, NSW, Australia</t>
  </si>
  <si>
    <t>Jadavpur University; Jadavpur University; Vidyasagar University; Indian Institute of Technology System (IIT System); Indian Institute of Technology (IIT) - Kharagpur; Indian Institute of Technology System (IIT System); Indian Institute of Technology (IIT) - Delhi; University of Calcutta; University of Texas System; University of Texas Austin; University of Texas System; University of Texas Austin; University of New South Wales Sydney</t>
  </si>
  <si>
    <t>Khan, A (corresponding author), Univ Calcutta, Lalbaba Coll, Dept Geog, Kolkata, India.</t>
  </si>
  <si>
    <t>TSINGHUA UNIV PRESS</t>
  </si>
  <si>
    <t>B605D, XUE YAN BUILDING, BEIJING, 100084, PEOPLES R CHINA</t>
  </si>
  <si>
    <t>1996-3599</t>
  </si>
  <si>
    <t>1996-8744</t>
  </si>
  <si>
    <t>10.1007/s12273-024-1150-5</t>
  </si>
  <si>
    <t>Thermodynamics; Construction &amp; Building Technology</t>
  </si>
  <si>
    <t>Abba, S. I.; Kilinc, Huseyin Cagan; Leong, Mou; Demir, Vahdettin; Ahmadianfar, Iman; Halder, Bijay; Heddam, Salim; Jawad, Ali H.; Al-Areeq, Ahmed M.; Yaseen, Zaher Mundher</t>
  </si>
  <si>
    <t>Bio-communal wastewater treatment plant real-time modeling using an intelligent meta-heuristic approach: A sustainable and green ecosystem</t>
  </si>
  <si>
    <t>JOURNAL OF WATER PROCESS ENGINEERING</t>
  </si>
  <si>
    <t>[Abba, S. I.; Al-Areeq, Ahmed M.; Yaseen, Zaher Mundher] King Fahd Univ Petr &amp; Minerals KFUPM, Interdisciplinary Res Ctr Membranes &amp; Water Secur, Dhahran, Saudi Arabia; [Kilinc, Huseyin Cagan] Istanbul Aydin Univ, Dept Civil Engn, Istanbul, Turkiye; [Leong, Mou] Univ Sains Malaysia, Sch Humanities, GeoInformat Unit, Geog Sect, Gelugor 11800, Penang, Malaysia; [Leong, Mou] Nanjing Normal Univ, Sch Geog Sci, Nanjing 210023, Peoples R China; [Demir, Vahdettin] KTO Karatay Univ, Dept Civil Engn, TR-42020 Konya, Turkiye; [Ahmadianfar, Iman] Behbahan Khatam Alanbia Univ Technol, Dept Civil Engn, Behbahan, Iran; [Halder, Bijay] Vidyasagar Univ, Dept Remote Sensing, GIS, Midnapore 721102, India; [Heddam, Salim] Univ 20 Aout 1955 Skikda, Fac Sci, Agron Dept, Route El Hadaik,BP 26, Skikda, Algeria; [Jawad, Ali H.] Univ Teknol MARA, Fac Appl Sci, Shah Alam 40450, Selangor, Malaysia; [Yaseen, Zaher Mundher] King Fahd Univ Petr &amp; Minerals, Civil &amp; Environm Engn Dept, Dhahran 31261, Saudi Arabia</t>
  </si>
  <si>
    <t>King Fahd University of Petroleum &amp; Minerals; Istanbul Aydin University; Universiti Sains Malaysia; Nanjing Normal University; KTO Karatay University; Vidyasagar University; Universite de Skikda; Universiti Teknologi MARA; King Fahd University of Petroleum &amp; Minerals</t>
  </si>
  <si>
    <t>Abba, SI; Yaseen, ZM (corresponding author), King Fahd Univ Petr &amp; Minerals KFUPM, Interdisciplinary Res Ctr Membranes &amp; Water Secur, Dhahran, Saudi Arabia.;Yaseen, ZM (corresponding author), King Fahd Univ Petr &amp; Minerals, Civil &amp; Environm Engn Dept, Dhahran 31261, Saudi Arabia.</t>
  </si>
  <si>
    <t>2214-7144</t>
  </si>
  <si>
    <t>10.1016/j.jwpe.2023.103731</t>
  </si>
  <si>
    <t>Engineering, Environmental; Engineering, Chemical; Water Resources</t>
  </si>
  <si>
    <t>Engineering; Water Resources</t>
  </si>
  <si>
    <t>Khorat, S; Das, D; Khatun, R; Aziz, SM; Anand, P; Khan, A; Santamouris, M; Niyogi, D</t>
  </si>
  <si>
    <t>Khorat, Samiran; Das, Debashish; Khatun, Rupali; Aziz, Sk Mohammad; Anand, Prashant; Khan, Ansar; Santamouris, Mattheos; Niyogi, Dev</t>
  </si>
  <si>
    <t>Cool roof strategies for urban thermal resilience to extreme heatwaves in tropical cities</t>
  </si>
  <si>
    <t>ENERGY AND BUILDINGS</t>
  </si>
  <si>
    <t>Extreme urban heat events; Albedo-enhancing roofing solutions; Integrated urban climate modeling; Urban heat resilience strategies; Kolkata urban heat mitigation</t>
  </si>
  <si>
    <t>HEAT-ISLAND; BOUNDARY-LAYER; CANOPY MODEL; PART I; IMPACT; CLIMATE; SIMULATION; WRF; PARAMETERIZATION; URBANIZATION</t>
  </si>
  <si>
    <t>Extreme heatwaves in tropical cities represent a significant short-term weather challenge, directly impacting urban heat, exacerbating human discomfort, and increasing energy demands. To alleviate this, meteorological adjustments utilizing reflective roofing technologies, such as cool roofs, can effectively mitigate heatwaveinduced excess heat and enhance thermal comfort. This study assessed the effectiveness of cool roofs in cooling urban areas following heatwaves in Kolkata, India, using comprehensive city-scale simulations. The study presumed that the existing roofing materials, with a reflectivity of 0.15 and emissivity of 0.85, indicated the unmitigated condition. These materials were replaced with third-generation cool roof materials featuring a reflectivity of 0.80 and emissivity of 0.85, leading to a substantial improvement in urban meteorology and thermal comfort compared to the unmitigated state. Notably, during heatwave episodes, the most significant computed reductions in energy flux were 181.3 Wm-2, 16.6 Wm-2, 56.3 Wm-2, and 251.9 Wm-2 for sensible heat, latent heat, ground storage, and net inflow radiation, respectively. Consequently, this led to decreases of 2.3 degrees C, 6.1 degrees C, 21.8 degrees C, and 1.9 degrees C in urban thermal parameters during peak hours (14:00 LT) for ambient temperature, surface temperature, roof surface temperature, and urban canopy temperature, respectively. The maximum drops in the planetary boundary layer (PBL) were 130.6 m, 1978.5 m, and 1010.3 m for 6:00 LT, 14:00 LT, and 18:00 LT, with an average of 870.3 m. Cool roofs demonstrated their potential to minimize thermal stress during heatwave periods, showcasing a maximum drop in the heat stress index (HSI) of up to 1.5 degrees C in the morning. Furthermore, outdoor thermal comfort could be significantly enhanced by lowering the universal thermal comfort index (UTCI) at the near surface, resulting in reductions of up to 1.8 degrees C during peak hours. On average, there was a reduction in UTCI between day and night of approximately 1.2 degrees C and 0.7 degrees C in densely populated urban areas. Additionally, the study evaluated 32 case studies that focused on cool roof strategies, revealing remarkably consistent findings that suggest a plausible justification. These findings provide a valuable framework for urban planners and policymakers considering the integration of cool roofs-based heat reduction technology at the city scale.</t>
  </si>
  <si>
    <t>[Khorat, Samiran; Khatun, Rupali] Jadavpur Univ, Sch Environm Studies, Kolkata, India; [Das, Debashish] Jadavpur Univ, Dept Architecture, Kolkata, India; [Aziz, Sk Mohammad] Vidyasagar Univ, Narajole Raj Coll, Dept Chem, Midnapore, India; [Anand, Prashant] Indian Inst Technol, Departmentof Architecture &amp; Reg Planning, Kharagpur, India; [Khan, Ansar] Univ Calcutta, Lalbaba Coll, Dept Geog, Kolkata, India; [Santamouris, Mattheos] Univ New South Wales, Sch Built Environm, Sydney, Australia; [Niyogi, Dev] Univ Texas Austin, Jackson Sch Geosci, Dept Geol Sci, Austin, TX USA; [Niyogi, Dev] Univ Texas Austin, Dept Civil Architectural &amp; Environm Engn, Austin, TX USA</t>
  </si>
  <si>
    <t>Jadavpur University; Jadavpur University; Vidyasagar University; Indian Institute of Technology System (IIT System); Indian Institute of Technology (IIT) - Kharagpur; University of Calcutta; University of New South Wales Sydney; University of Texas System; University of Texas Austin; University of Texas System; University of Texas Austin</t>
  </si>
  <si>
    <t>0378-7788</t>
  </si>
  <si>
    <t>1872-6178</t>
  </si>
  <si>
    <t>10.1016/j.enbuild.2023.113751</t>
  </si>
  <si>
    <t>Construction &amp; Building Technology; Energy &amp; Fuels; Engineering, Civil</t>
  </si>
  <si>
    <t>Construction &amp; Building Technology; Energy &amp; Fuels; Engineering</t>
  </si>
  <si>
    <t>Kilinc, Huseyin Cagan; Ahmadianfar, Iman; Demir, Vahdettin; Heddam, Salim; Al-Areeq, Ahmed M.; Abba, Sani I.; Tan, Mou Leong; Halder, Bijay; Marhoon, Haydar Abdulameer; Yaseen, Zaher Mundher</t>
  </si>
  <si>
    <t>Daily Scale River Flow Forecasting Using Hybrid Gradient Boosting Model with Genetic Algorithm Optimization</t>
  </si>
  <si>
    <t>WATER RESOURCES MANAGEMENT</t>
  </si>
  <si>
    <t>[Kilinc, Huseyin Cagan] Istanbul Aydin Univ, Dept Civil Engn, Istanbul, Turkiye; [Ahmadianfar, Iman] Behbahan Khatam Alanbia Univ Technol, Dept Civil Engn, Behbahan, Iran; [Demir, Vahdettin] KTO Karatay Univ, Dept Civil Engn, TR-42020 Konya, Turkiye; [Heddam, Salim] Univ 20 Aout 1955 Skikda, Fac Sci, Agron Dept, Route El Hadaik,BP 26, Skikda, Algeria; [Al-Areeq, Ahmed M.; Abba, Sani I.; Yaseen, Zaher Mundher] King Fahd Univ Petr &amp; Minerals KFUPM, Interdisciplinary Res Ctr Membranes &amp; Water Secur, Dhahran, Saudi Arabia; [Tan, Mou Leong] Univ Sains Malaysia, Sch Humanities, Geog Sect, George Town 11800, Malaysia; [Tan, Mou Leong] Nanjing Normal Univ, Sch Geog, Nanjing 210023, Peoples R China; [Halder, Bijay] Vidyasagar Univ, Dept Remote Sensing &amp; GIS, Midnapore 721102, India; [Marhoon, Haydar Abdulameer] Al Ayen Univ, Sci Res Ctr, Informat &amp; Commun Technol Res Grp, Thi Qar, Iraq; [Marhoon, Haydar Abdulameer] Univ Kerbala, Coll Comp Sci &amp; Informat Technol, Karbala, Iraq; [Yaseen, Zaher Mundher] King Fahd Univ Petr &amp; Minerals, Civil &amp; Environm Engn Dept, Dhahran 31261, Saudi Arabia</t>
  </si>
  <si>
    <t>Istanbul Aydin University; KTO Karatay University; Universite de Skikda; King Fahd University of Petroleum &amp; Minerals; Universiti Sains Malaysia; Nanjing Normal University; Vidyasagar University; Al-Ayen University; University of Kerbala; King Fahd University of Petroleum &amp; Minerals</t>
  </si>
  <si>
    <t>Kilinc, HC (corresponding author), Istanbul Aydin Univ, Dept Civil Engn, Istanbul, Turkiye.;Yaseen, ZM (corresponding author), King Fahd Univ Petr &amp; Minerals KFUPM, Interdisciplinary Res Ctr Membranes &amp; Water Secur, Dhahran, Saudi Arabia.;Yaseen, ZM (corresponding author), King Fahd Univ Petr &amp; Minerals, Civil &amp; Environm Engn Dept, Dhahran 31261, Saudi Arabia.</t>
  </si>
  <si>
    <t>0920-4741</t>
  </si>
  <si>
    <t>1573-1650</t>
  </si>
  <si>
    <t>10.1007/s11269-023-03522-z</t>
  </si>
  <si>
    <t>Engineering, Civil; Water Resources</t>
  </si>
  <si>
    <t>Halder, Bijay; Karimi, Alireza; Mohammad, Pir; Bandyopadhyay, Jatisankar; Brown, Robert D.; Yaseen, Zaher Mundher</t>
  </si>
  <si>
    <t>Investigating the relationship between land alteration and the urban heat island of Seville city using multi-temporal Landsat data</t>
  </si>
  <si>
    <t>[Halder, Bijay; Bandyopadhyay, Jatisankar] Vidyasagar Univ, Dept Remote Sensing &amp; GIS, Midnapore 721102, India; [Karimi, Alireza] Univ Seville, Escuela Tecn Super Arquitectura, Inst Univ Arquitectura &amp; Ciencias Construcc, Seville 41012, Spain; [Mohammad, Pir] Indian Inst Technol, Dept Earth Sci, Roorkee 247667, Uttarakhand, India; [Mohammad, Pir] Hong Kong Polytech Univ, Dept Land Surveying &amp; Geoinformat, Kowloon, Hong Kong, Peoples R China; [Brown, Robert D.] Texas A&amp;M Univ, Coll Architecture, Dept Landscape Architecture &amp; Urban Planning, College Stn, TX 77840 USA; [Yaseen, Zaher Mundher] Univ Kebangsaan Malaysia, Fac Sci &amp; Technol, Dept Earth Sci &amp; Environm, Bangi 43600, Selangor, Malaysia; [Yaseen, Zaher Mundher] Univ Southern Queensland, Sch Math Phys &amp; Comp, USQs Adv Data Analyt Res Grp, Toowoomba, Qld 4350, Australia; [Yaseen, Zaher Mundher] Al Ayen Univ, Sci Res Ctr, New Era &amp; Dev Civil Engn Res Grp, Thi Qar 64001, Nasiriyah, Iraq</t>
  </si>
  <si>
    <t>Vidyasagar University; University of Sevilla; Indian Institute of Technology System (IIT System); Indian Institute of Technology (IIT) - Roorkee; Hong Kong Polytechnic University; Texas A&amp;M University System; Texas A&amp;M University College Station; Universiti Kebangsaan Malaysia; University of Southern Queensland; Al-Ayen University</t>
  </si>
  <si>
    <t>Mohammad, P (corresponding author), Indian Inst Technol, Dept Earth Sci, Roorkee 247667, Uttarakhand, India.;Mohammad, P (corresponding author), Hong Kong Polytech Univ, Dept Land Surveying &amp; Geoinformat, Kowloon, Hong Kong, Peoples R China.</t>
  </si>
  <si>
    <t>10.1007/s00704-022-04180-8</t>
  </si>
  <si>
    <t>Halder, Bijay; Bandyopadhyay, Jatisankar; Al-Hilali, Aqeel Ali; Ahmed, Ali M.; Falah, Mayadah W.; Abed, Salwan Ali; Falih, Khaldoon T.; Khedher, Khaled Mohamed; Scholz, Miklas; Yaseen, Zaher Mundher</t>
  </si>
  <si>
    <t>Assessment of Urban Green Space Dynamics Influencing the Surface Urban Heat Stress Using Advanced Geospatial Techniques</t>
  </si>
  <si>
    <t>AGRONOMY-BASEL</t>
  </si>
  <si>
    <t>[Halder, Bijay; Bandyopadhyay, Jatisankar] Vidyasagar Univ, Dept Remote Sensing &amp; GIS, Midnapore 721102, India; [Al-Hilali, Aqeel Ali] Al Farahidi Univ, Fac Engn, Baghdad 10022, Iraq; [Ahmed, Ali M.] Al Esraa Univ Coll, Engn Dept, Baghdad 10011, Iraq; [Falah, Mayadah W.] AL Mustaqbal Univ Coll, Bldg &amp; Construct Engn Technol Dept, Hillah 51001, Iraq; [Abed, Salwan Ali] Univ Al Qadisiyah, Coll Sci, Al Diwaniyah 58002, Iraq; [Falih, Khaldoon T.] Al Ayen Univ, Sci Res Ctr, New Era &amp; Dev Civil Engn Res Grp, Nasiriyah 64001, Iraq; [Khedher, Khaled Mohamed] King Khalid Univ, Coll Engn, Dept Civil Engn, Abha 61421, Saudi Arabia; [Khedher, Khaled Mohamed] High Inst Technol Studies, Dept Civil Engn, Mrezgua Univ Campus, Nabeul 8000, Tunisia; [Scholz, Miklas] Univ Salford, Sch Sci Engn &amp; Environm, Directorate Engn Future, Newton Bldg, Manchester M5 4WT, England; [Scholz, Miklas] Univ Johannesburg, Sch Civil Engn &amp; Built Environm, Dept Civil Engn Sci, Kingsway Campus, ZA-2092 Johannesburg, South Africa; [Scholz, Miklas] Natl Res Univ, South Ural State Univ, Dept Town Planning Engn Networks &amp; Syst, 76 Lenin Prospekt, Chelyabinsk 454080, Russia; [Yaseen, Zaher Mundher] Univ Kebangsaan Malaysia, Fac Sci &amp; Technol, Dept Earth Sci &amp; Environm, Bangi 43600, Selangor, Malaysia</t>
  </si>
  <si>
    <t>Vidyasagar University; Al-Farahidi University; Al-Mustaqbal University College; University of Al-Qadisiyah; Al-Ayen University; King Khalid University; University of Salford; University of Johannesburg; South Ural State University; Universiti Kebangsaan Malaysia</t>
  </si>
  <si>
    <t>Scholz, M (corresponding author), Univ Salford, Sch Sci Engn &amp; Environm, Directorate Engn Future, Newton Bldg, Manchester M5 4WT, England.;Scholz, M (corresponding author), Univ Johannesburg, Sch Civil Engn &amp; Built Environm, Dept Civil Engn Sci, Kingsway Campus, ZA-2092 Johannesburg, South Africa.;Scholz, M (corresponding author), Natl Res Univ, South Ural State Univ, Dept Town Planning Engn Networks &amp; Syst, 76 Lenin Prospekt, Chelyabinsk 454080, Russia.;Yaseen, ZM (corresponding author), Univ Kebangsaan Malaysia, Fac Sci &amp; Technol, Dept Earth Sci &amp; Environm, Bangi 43600, Selangor, Malaysia.</t>
  </si>
  <si>
    <t>2073-4395</t>
  </si>
  <si>
    <t>10.3390/agronomy12092129</t>
  </si>
  <si>
    <t>Agronomy; Plant Sciences</t>
  </si>
  <si>
    <t>Agriculture; Plant Sciences</t>
  </si>
  <si>
    <t>Sannigrahi, Srikanta; Pilla, Francesco; Maiti, Arabinda; Bar, Somnath; Bhatt, Sandeep; Kaparwan, Ankit; Zhang, Qi; Keesstra, Saskia; Cerda, Artemi</t>
  </si>
  <si>
    <t>Examining the status of forest fire emission in 2020 and its connection to COVID-19 incidents in West Coast regions of the United States</t>
  </si>
  <si>
    <t>[Sannigrahi, Srikanta; Pilla, Francesco] Univ Coll Dublin Richview, Sch Architecture Planning &amp; Environm Policy, Dublin D14 E099, Ireland; [Maiti, Arabinda] Vidyasagar Univ, Dept Geog, Midnapore, W Bengal, India; [Bar, Somnath] Cent Univ Jharkhand, Dept Geoinformat, Ranchi, Bihar, India; [Bhatt, Sandeep] Indian Inst Technol Roorkee, Dept Earth Sci, Roorkee, Uttar Pradesh, India; [Kaparwan, Ankit] Hemvati Nandan Bahuguna Garhwal Univ, Dept Stat, Srinagar, India; [Zhang, Qi] Univ N Carolina, Dept Geog, Chapel Hill, NC 27599 USA; [Keesstra, Saskia] Wageningen Univ &amp; Res, Wageningen Environm Res, Team Soil Water &amp; Land Use, Wageningen, Netherlands; [Keesstra, Saskia] Univ Newcastle, Civil Surveying &amp; Environm Engn, Callaghan, NSW 2308, Australia; [Keesstra, Saskia] Univ Newcastle, Ctr Water Secur &amp; Environm Sustainabil, Callaghan, NSW 2308, Australia; [Cerda, Artemi] Univ Valencia, Dept Geog, Soil Eros &amp; Degradat Res Grp, Blasco Ibanez 28, Valencia 46010, Spain</t>
  </si>
  <si>
    <t>University College Dublin; Vidyasagar University; Central University of Jharkhand; Indian Institute of Technology System (IIT System); Indian Institute of Technology (IIT) - Roorkee; Hemwati Nandan Bahuguna Garhwal University; University of North Carolina; University of North Carolina Chapel Hill; Wageningen University &amp; Research; University of Newcastle; University of Newcastle; University of Valencia</t>
  </si>
  <si>
    <t>Sannigrahi, S (corresponding author), Univ Coll Dublin Richview, Sch Architecture Planning &amp; Environm Policy, Dublin D14 E099, Ireland.</t>
  </si>
  <si>
    <t>10.1016/j.envres.2022.112818</t>
  </si>
  <si>
    <t>hybrid, Green Accepted, Green Published</t>
  </si>
  <si>
    <t>Palanikumar, M; Jana, C; Hezam, IM; Foul, A; Simic, V; Pamucar, D</t>
  </si>
  <si>
    <t>Palanikumar, Murugan; Jana, Chiranjibe; Hezam, Ibrahim M.; Foul, Abdelaziz; Simic, Vladimir; Pamucar, Dragan</t>
  </si>
  <si>
    <t>Multiple attribute decision-making model for artificially intelligent last-mile delivery robots selection in neutrosophic square root environment</t>
  </si>
  <si>
    <t>Euclidean distance; Hamming distance; Robotic intelligence; Multiple-attribute decision-making</t>
  </si>
  <si>
    <t>SPHERICAL FUZZY-SETS</t>
  </si>
  <si>
    <t>We introduce novel methodological techniques for decision-making with multiple attributes utilizing logarithmic square root neutrosophic vague sets. One important thing is that we improved decision-making by adding logarithmic square root neutrosophic ambiguous weighted operators. Logarithmic square root, neutrosophic imprecise weighted averaging, geometric procedures, and expanded versions of these are some of the data processing methodologies that we explore. The use of Hamming distances and Euclidean distances in decisionmaking situations is illustrated by real-world instances. To clarify the basic properties of these sets, the research uses an algebraic framework. Numerous domains make use of neural networks, including translation, medical diagnosis, and picture and speech recognition. Developing multipurpose artificially intelligent robots with analytical, functional, visual, interactive, and textual capabilities relies heavily on the synergy between computer science and machine tool technology. This is especially true when it comes to the evolution of artificial intelligence. The operating procedures, expenses, time, and externalizes of an artificially intelligent robot system should be considered while assessing its quality. Finding the best answer from a list of possibilities is made easier with the help of expert views and established criteria. By comparing them to other methods, we verify and show that the suggested models work. The study's findings highlight the importance of the research.</t>
  </si>
  <si>
    <t>[Palanikumar, Murugan] Saveetha Inst Med &amp; Tech Sci, Saveetha Sch Engn, Chennai 602105, India; [Jana, Chiranjibe] Vidyasagar Univ, Dept Appl Math Oceanol &amp; Comp Programming, Midnapore 721102, India; [Hezam, Ibrahim M.; Foul, Abdelaziz] King Saud Univ, Coll Sci, Dept Stat &amp; Operat Res, Riyadh 11451, Saudi Arabia; [Simic, Vladimir] Yuan Ze Univ, Coll Engn, Dept Ind Engn &amp; Management, Taoyuan City 320315, Taiwan; [Simic, Vladimir] Univ Belgrade, Fac Transport &amp; Traff Engn, VojvodeStepe 305, Belgrade 11010, Serbia; [Simic, Vladimir] Korea Univ, Coll Informat, Dept Comp Sci &amp; Engn, Seoul 02841, South Korea; [Pamucar, Dragan] Univ Belgrade, Fac Org Sci, Dept Operat Res &amp; Stat, Belgrade, Serbia; [Pamucar, Dragan] Western Caspian Univ, Dept Mech &amp; Math, Baku, Azerbaijan; [Pamucar, Dragan] Sunway Univ, Sch Engn &amp; Technol, Selangor, Malaysia</t>
  </si>
  <si>
    <t>Saveetha Institute of Medical &amp; Technical Science; Saveetha School of Engineering; Vidyasagar University; King Saud University; Yuan Ze University; University of Belgrade; Korea University; University of Belgrade; Ministry of Education of Azerbaijan Republic; Western Caspian University; Sunway University</t>
  </si>
  <si>
    <t>Pamucar, D (corresponding author), Univ Belgrade, Fac Org Sci, Dept Operat Res &amp; Stat, Belgrade, Serbia.</t>
  </si>
  <si>
    <t>10.1016/j.engappai.2024.108878</t>
  </si>
  <si>
    <t>Mondal, Susmita; Das, Monojit; Ghosh, Ria; Singh, Manali; Adhikari, Aniruddha; Darbar, Soumendra; Kumar Das, Anjan; Bhattacharya, Siddhartha Sankar; Pal, Debasish; Bhattacharyya, Debasish; Ahmed, Ahmed S. A.; Mallick, Asim Kumar; Al-Rooqi, Munirah M.; Moussa, Ziad; Ahmed, Saleh A.; Pal, Samir Kumar</t>
  </si>
  <si>
    <t>Chitosan functionalized Mn3O4 nanoparticles counteracts ulcerative colitis in mice through modulation of cellular redox state</t>
  </si>
  <si>
    <t>COMMUNICATIONS BIOLOGY</t>
  </si>
  <si>
    <t>[Mondal, Susmita; Ghosh, Ria; Adhikari, Aniruddha; Pal, Samir Kumar] S N Bose Natl Ctr Basic Sci, Dept Chem, Biol Sci, Block JD, Kolkata 700106, India; [Das, Monojit; Bhattacharya, Siddhartha Sankar; Pal, Debasish; Pal, Samir Kumar] Univ Calcutta, Uluberia Coll, Dept Zool, Uluberia 711315, India; [Das, Monojit] Vidyasagar Univ, Dept Zool, Rangamati 721102, Midnapore, India; [Singh, Manali] Thapar Inst Engn &amp; Technol, Dept Biotechnol, Bhadson Rd, Patiala 147004, Punjab, India; [Darbar, Soumendra] Deys Med Stores Mfg Ltd, Res &amp; Dev Div, 62 Bondel Rd, Kolkata 700019, India; [Kumar Das, Anjan] Cooch Behar Govt Med Coll &amp; Hosp, Dept Pathol, Vivekananda Rd, Khagrabari 736101, West Bengal, India; [Bhattacharyya, Debasish] Nil Ratan Sircar Med Coll &amp; Hosp, Dept Gynecol &amp; Obstet, 138 AJC Bose Rd, Kolkata 700014, India; [Ahmed, Ahmed S. A.] Assiut Univ, Fac Med, Assiut 71516, Egypt; [Mallick, Asim Kumar] Nil Ratan Sirkar Med Coll &amp; Hosp, Dept Pediat Med, 38 Acharya Jagadish Chandra Bose Rd, Kolkata 700014, West Bengal, India; [Al-Rooqi, Munirah M.; Ahmed, Saleh A.] Umm Al Qura Univ, Fac Appl Sci, Dept Chem, Mecca 21955, Saudi Arabia; [Moussa, Ziad] United Arab Emirates Univ, Coll Sci, Dept Chem, POB 15551, Al Ain, U Arab Emirates; [Ahmed, Saleh A.] Assiut Univ, Fac Sci, Dept Chem, Assiut 71516, Egypt</t>
  </si>
  <si>
    <t>Department of Science &amp; Technology (India); SN Bose National Centre for Basic Science (SNBNCBS); University of Calcutta; Vidyasagar University; Thapar Institute of Engineering &amp; Technology; Egyptian Knowledge Bank (EKB); Assiut University; Umm Al Qura University; United Arab Emirates University; Egyptian Knowledge Bank (EKB); Assiut University</t>
  </si>
  <si>
    <t>Pal, SK (corresponding author), S N Bose Natl Ctr Basic Sci, Dept Chem, Biol Sci, Block JD, Kolkata 700106, India.;Pal, SK (corresponding author), Univ Calcutta, Uluberia Coll, Dept Zool, Uluberia 711315, India.;Ahmed, SA (corresponding author), Umm Al Qura Univ, Fac Appl Sci, Dept Chem, Mecca 21955, Saudi Arabia.;Ahmed, SA (corresponding author), Assiut Univ, Fac Sci, Dept Chem, Assiut 71516, Egypt.</t>
  </si>
  <si>
    <t>2399-3642</t>
  </si>
  <si>
    <t>COMMUN BIOL</t>
  </si>
  <si>
    <t>Commun. Biol.</t>
  </si>
  <si>
    <t>10.1038/s42003-023-05023-6</t>
  </si>
  <si>
    <t>Biology; Multidisciplinary Sciences</t>
  </si>
  <si>
    <t>Life Sciences &amp; Biomedicine - Other Topics; Science &amp; Technology - Other Topics</t>
  </si>
  <si>
    <t>Halder, Bijay; Barman, Subhadip; Banik, Papiya; Das, Puja; Bandyopadhyay, Jatisankar; Tangang, Fredolin; Shahid, Shamsuddin; Pande, Chaitanya B.; Al-Ramadan, Baqer; Yaseen, Zaher Mundher</t>
  </si>
  <si>
    <t>Large-Scale Flood Hazard Monitoring and Impact Assessment on Landscape: Representative Case Study in India</t>
  </si>
  <si>
    <t>[Halder, Bijay; Bandyopadhyay, Jatisankar] Vidyasagar Univ, Dept Remote Sensing &amp; GIS, Midnapore 721102, India; [Barman, Subhadip] Vidyasagar Univ, Ctr Environm Studies, Midnapore 721102, India; [Banik, Papiya] Univ Calcutta, Dept Geog, Kolkata 700019, India; [Das, Puja] Cotton Univ, Dept Geog, Gauhati 781001, India; [Tangang, Fredolin] Univ Kebangsaan Malaysia, Fac Sci &amp; Technol, Dept Earth Sci &amp; Environm, Bangi 43600, Selangor, Malaysia; [Shahid, Shamsuddin] Univ Teknol Malaysia UTM, Fac Civil Engn, Dept Water &amp; Environm Engn, Skudia 81310, Johor, Malaysia; [Pande, Chaitanya B.] Indian Inst Trop Meteorol, Pune 411008, India; [Pande, Chaitanya B.] Univ Tenaga Nas, Inst Energy Infrastruct, Kajang 43000, Selangor, Malaysia; [Pande, Chaitanya B.] Al Ayen Univ, Sci Res Ctr, New Era &amp; Dev Civil Engn Res Grp, Nasiriyah 64001, Iraq; [Al-Ramadan, Baqer] King Fahd Univ Petr &amp; Minerals, Architecture &amp; City Design, Dhahran 31261, Saudi Arabia; [Yaseen, Zaher Mundher] King Fahd Univ Petr &amp; Minerals, Civil &amp; Environm Engn Dept, Dhahran 31261, Saudi Arabia; [Yaseen, Zaher Mundher] King Fahd Univ Petr &amp; Minerals, Interdisciplinary Res Ctr Membranes &amp; Water Secur, Dhahran 31261, Saudi Arabia</t>
  </si>
  <si>
    <t>Vidyasagar University; Vidyasagar University; University of Calcutta; Universiti Kebangsaan Malaysia; Universiti Teknologi Malaysia; Ministry of Earth Sciences (MoES) - India; Indian Institute of Tropical Meteorology (IITM); Universiti Tenaga Nasional; Al-Ayen University; King Fahd University of Petroleum &amp; Minerals; King Fahd University of Petroleum &amp; Minerals; King Fahd University of Petroleum &amp; Minerals</t>
  </si>
  <si>
    <t>Yaseen, ZM (corresponding author), King Fahd Univ Petr &amp; Minerals, Civil &amp; Environm Engn Dept, Dhahran 31261, Saudi Arabia.;Yaseen, ZM (corresponding author), King Fahd Univ Petr &amp; Minerals, Interdisciplinary Res Ctr Membranes &amp; Water Secur, Dhahran 31261, Saudi Arabia.</t>
  </si>
  <si>
    <t>10.3390/su151411413</t>
  </si>
  <si>
    <t>Tao, Hai; Hashim, Bassim Mohammed; Heddam, Salim; Goliatt, Leonardo; Tan, Mou Leong; Sa'adi, Zulfaqar; Ahmadianfar, Iman; Falah, Mayadah W.; Halder, Bijay; Yaseen, Zaher Mundher</t>
  </si>
  <si>
    <t>Megacities' environmental assessment for Iraq region using satellite image and geo-spatial tools</t>
  </si>
  <si>
    <t>[Tao, Hai] Qiannan Normal Univ Nationalities, Sch Comp &amp; Informat, Duyun 558000, Guizhou, Peoples R China; [Tao, Hai] Key Lab Complex Syst &amp; Intelligent Optimizat Guiz, Duyun 558000, Peoples R China; [Tao, Hai] Univ Teknol MARA, Inst Big Data Analyt &amp; Artificial Intelligence IB, Shah Alam 40450, Selangor, Malaysia; [Hashim, Bassim Mohammed] Iraq Minist Sci &amp; Technol, Environm &amp; Water Directorate, Baghdad, Iraq; [Heddam, Salim] Univ 20 Aout 1955, Hydraul Div, Lab Res Biodivers Interact Ecosyst &amp; Biotechnol, Fac Sci,Agron Dept, Skikda BP 26 Route El Hadaik, Skikda, Algeria; [Goliatt, Leonardo] Univ Fed Juiz de Fora, Computat Modeling Program, Juiz De Fora, MG, Brazil; [Tan, Mou Leong] Univ Sains Malaysia, Geog Sect, GeoInformat Unit, Sch Humanities, Gelugor 11800, Penang, Malaysia; [Sa'adi, Zulfaqar] Univ Teknol Malaysia, Sch Civil Engn, Ctr Environm Sustainabil &amp; Water Secur IPASA, Fac Engn, Utm Sekudai 81310, Johor, Malaysia; [Ahmadianfar, Iman] Behbahan Khatam Alanbia Univ Technol, Dept Civil Engn, Behbahan, Iran; [Falah, Mayadah W.] Al Mustaqbal Univ Coll, Bldg &amp; Construct Tech Engn Dept, Hillah 51001, Iraq; [Halder, Bijay] Vidyasagar Univ, Dept Remote Sensing &amp; GIS, Midnapore, India; [Halder, Bijay] Al Ayen Univ, New Era &amp; Dev Civil Engn Res Grp, Sci Res Ctr, Thi Qar 64001, Iraq; [Yaseen, Zaher Mundher] King Fahd Univ Petr &amp; Minerals, Civil &amp; Environm Engn Dept, Dhahran 31261, Saudi Arabia</t>
  </si>
  <si>
    <t>Qiannan Normal University of Nationalities; Universiti Teknologi MARA; Universite de Skikda; Universidade Federal de Juiz de Fora; Universiti Sains Malaysia; Universiti Teknologi Malaysia; Al-Mustaqbal University College; Vidyasagar University; Al-Ayen University; King Fahd University of Petroleum &amp; Minerals</t>
  </si>
  <si>
    <t>10.1007/s11356-022-24153-8</t>
  </si>
  <si>
    <t>Maiti, A; Hasan, MK; Sannigrahi, S; Bar, S; Chakraborti, S; Mahto, SS; Chatterjee, S; Pramanik, S; Pilla, F; Auerbach, J; Sonnentag, O; Song, CH; Zhang, Q</t>
  </si>
  <si>
    <t>Maiti, Arabinda; Hasan, Md Kamrul; Sannigrahi, Srikanta; Bar, Somnath; Chakraborti, Suman; Mahto, Shanti Shwarup; Chatterjee, Sumanta; Pramanik, Suvamoy; Pilla, Francesco; Auerbach, Jeremy; Sonnentag, Oliver; Song, Conghe; Zhang, Qi</t>
  </si>
  <si>
    <t>Optimal rainfall threshold for monsoon rice production in India varies across space and time</t>
  </si>
  <si>
    <t>COMMUNICATIONS EARTH &amp; ENVIRONMENT</t>
  </si>
  <si>
    <t>CLIMATE-CHANGE; SEGMENTED REGRESSION; CROP YIELD; IMPACT; TRENDS; ENSO</t>
  </si>
  <si>
    <t>Climate change affects Indian agriculture, which depends heavily on the spatiotemporal distribution of monsoon rainfall. Despite the nonlinear relationship between crop yield and rainfall, little is known about the optimal rainfall threshold, particularly for monsoon rice. Here, we investigate the responses of rice yield to monsoon rainfall in India by analyzing historical rice production statistics and climate data from 1990 to 2017. Results show that excessive and deficit rainfall reduces rice yield by 33.7% and 19%, respectively. The overall optimal rainfall threshold nationwide is 1621 +/- 34 mm beyond which rice yield declines by 6.4 kg per hectare per 100 mm of rainfall, while the identifiable thresholds vary spatially across 14 states. The temporal variations in rice yield are influenced by rainfall anomalies featured by El Ni &amp; ntilde;o-Southern Oscillation events. Excessive rainfalls have led to a greater decrease in monsoon-season rice yield in India than deficit rainfalls, suggests a statistical analysis of historical rice production and climate data from 1990 to 2017.</t>
  </si>
  <si>
    <t>[Maiti, Arabinda] Vidyasagar Univ, Dept Geog, Midnapore 721102, W Bengal, India; [Hasan, Md Kamrul] Patuakhali Sci &amp; Technol Univ, Dept Agr Extens &amp; Rural Dev, Dumki 8602, Patuakhali, Bangladesh; [Sannigrahi, Srikanta; Auerbach, Jeremy] Univ Coll Dublin, Sch Geog, Newman Bldg, Dublin, Ireland; [Bar, Somnath] Univ Southampton, Sch Geog &amp; Environm Sci, Southampton SO171BJ, England; [Chakraborti, Suman; Pramanik, Suvamoy] Jawaharlal Nehru Univ, Ctr Study Reg Dev, Delhi 110067, India; [Mahto, Shanti Shwarup] Indian Inst Technol IIT, Earth Sci, Gandhinagar, India; [Chatterjee, Sumanta] ARS, USDA, Hydrol &amp; Remote Sensing Lab, 10300 Baltimore Ave, Beltsville, MD 20705 USA; [Chatterjee, Sumanta] ICAR Natl Rice Res Inst, Cuttack 753006, India; [Pilla, Francesco] Univ Coll Dublin, Sch Architecture Planning &amp; Environm Policy, Dublin D04 V1W8, Ireland; [Sonnentag, Oliver] Univ Montreal, Dept Geog, Montreal, PQ, Canada; [Sonnentag, Oliver] Univ Montreal, Ctr Etud Nord, Montreal, PQ, Canada; [Song, Conghe; Zhang, Qi] Univ N Carolina, Dept Geog &amp; Environm, Chapel Hill, NC 27599 USA</t>
  </si>
  <si>
    <t>Vidyasagar University; University College Dublin; University of Southampton; Jawaharlal Nehru University, New Delhi; Indian Institute of Technology System (IIT System); Indian Institute of Technology (IIT) - Madras; United States Department of Agriculture (USDA); Indian Council of Agricultural Research (ICAR); ICAR - National Rice Research Institute; University College Dublin; Universite de Montreal; Universite de Montreal; University of North Carolina; University of North Carolina Chapel Hill</t>
  </si>
  <si>
    <t>Zhang, Q (corresponding author), Univ N Carolina, Dept Geog &amp; Environm, Chapel Hill, NC 27599 USA.</t>
  </si>
  <si>
    <t>2662-4435</t>
  </si>
  <si>
    <t>10.1038/s43247-024-01414-7</t>
  </si>
  <si>
    <t>Environmental Sciences; Geosciences, Multidisciplinary; Meteorology &amp; Atmospheric Sciences</t>
  </si>
  <si>
    <t>Environmental Sciences &amp; Ecology; Geology; Meteorology &amp; Atmospheric Sciences</t>
  </si>
  <si>
    <t>Halder, Bijay; Bandyopadhyay, Jatisankar; Afan, Haitham Abdulmohsin; Naser, Maryam H.; Abed, Salwan Ali; Khedher, Khaled Mohamed; Falih, Khaldoon T.; Deo, Ravinesh; Scholz, Miklas; Yaseen, Zaher Mundher</t>
  </si>
  <si>
    <t>Delineating the Crop-Land Dynamic due to Extreme Environment Using Landsat Datasets: A Case Study</t>
  </si>
  <si>
    <t>[Halder, Bijay; Bandyopadhyay, Jatisankar] Vidyasagar Univ, Dept Remote Sensing &amp; GIS, Midnapore 721102, India; [Afan, Haitham Abdulmohsin] Al Maarif Univ Coll, Dept Civil Engn, Ramadi 31001, Iraq; [Naser, Maryam H.] Al Mustaqbal Univ Coll, Bldg &amp; Construct Techn Engn Dept, Hillah 51001, Iraq; [Abed, Salwan Ali] Al Qadisiyah Univ, Coll Sci, Al Diwaniyah 58001, Iraq; [Khedher, Khaled Mohamed] King Khalid Univ, Dept Civil Engn, Coll Engn, Abha 61421, Saudi Arabia; [Khedher, Khaled Mohamed] Mrezgua Univ Campus, High Inst Technol Studies, Dept Civil Engn, Nabeul 8000, Tunisia; [Falih, Khaldoon T.] Al Ayen Univ, New Era &amp; Dev Civil Engn Res Grp, Ctr Sci Res, Thi Qar 64001, Iraq; [Deo, Ravinesh] Univ Southern Queensland, Sch Math Phys &amp; Comp, USQs Adv Data Analyt Res Grp, Springfield, Qld 4300, Australia; [Scholz, Miklas] Univ Salford, Directorate Engn Future, Sch Sci Engn &amp; Environm, Newton Bldg, Manchester M5 4WT, England; [Scholz, Miklas] Univ Johannesburg, Sch Civil Engn &amp; Built Environm, Dept Civil Engn Sci, Kingsway Campus,POB 524, ZA-2006 Johannesburg, South Africa; [Scholz, Miklas] South Ural State Univ, Dept Town Planning, Engn Networks &amp; Syst, 76,Lenin prospekt, Chelyabinsk 454080, Russia; [Yaseen, Zaher Mundher] Univ Kebangsaan Malaysia, Fac Sci &amp; Technol, Dept Earth Sci &amp; Environm, Bangi 43600, Selangor, Malaysia; [Yaseen, Zaher Mundher] Univ Southern Queensland, Sch Math Phys &amp; Comp, USQs Adv Data Analyt Res Grp, Adjunct Res Fellow, Springfield, Qld 4350, Australia</t>
  </si>
  <si>
    <t>Vidyasagar University; Al-Maarif University; Al-Mustaqbal University College; University of Al-Qadisiyah; King Khalid University; Al-Ayen University; University of Southern Queensland; University of Salford; University of Johannesburg; South Ural State University; Universiti Kebangsaan Malaysia; University of Southern Queensland</t>
  </si>
  <si>
    <t>Scholz, M (corresponding author), Univ Salford, Directorate Engn Future, Sch Sci Engn &amp; Environm, Newton Bldg, Manchester M5 4WT, England.;Scholz, M (corresponding author), Univ Johannesburg, Sch Civil Engn &amp; Built Environm, Dept Civil Engn Sci, Kingsway Campus,POB 524, ZA-2006 Johannesburg, South Africa.;Scholz, M (corresponding author), South Ural State Univ, Dept Town Planning, Engn Networks &amp; Syst, 76,Lenin prospekt, Chelyabinsk 454080, Russia.;Yaseen, ZM (corresponding author), Univ Kebangsaan Malaysia, Fac Sci &amp; Technol, Dept Earth Sci &amp; Environm, Bangi 43600, Selangor, Malaysia.;Yaseen, ZM (corresponding author), Univ Southern Queensland, Sch Math Phys &amp; Comp, USQs Adv Data Analyt Res Grp, Adjunct Res Fellow, Springfield, Qld 4350, Australia.</t>
  </si>
  <si>
    <t>10.3390/agronomy12061268</t>
  </si>
  <si>
    <t>Dutta, D; Al Hoque, A; Paul, B; Park, JH; Chowdhury, C; Quadir, M; Banerjee, S; Choudhury, A; Laha, S; Sepay, N; Boro, P; Kaipparettu, BA; Mukherjee, B</t>
  </si>
  <si>
    <t>Dutta, Debasmita; Al Hoque, Ashique; Paul, Brahamacharry; Park, Jun Hyoung; Chowdhury, Chinmay; Quadir, Mohiuddin; Banerjee, Soumyabrata; Choudhury, Arghadip; Laha, Soumik; Sepay, Nayim; Boro, Priyanka; Kaipparettu, Benny Abraham; Mukherjee, Biswajit</t>
  </si>
  <si>
    <t>EpCAM-targeted betulinic acid analogue nanotherapy improves therapeutic efficacy and induces anti-tumorigenic immune response in colorectal cancer tumor microenvironment</t>
  </si>
  <si>
    <t>JOURNAL OF BIOMEDICAL SCIENCE</t>
  </si>
  <si>
    <t>Betulinic acid analogue; EpCAM; Aptamer; Colorectal cancer; Tumor-microenvironment; Immune response</t>
  </si>
  <si>
    <t>HEPATOCELLULAR-CARCINOMA; PLGA NANOPARTICLES; DRUG-DELIVERY; APOPTOSIS; CELLS; CYCLOPHOSPHAMIDE; INFLAMMATION; CYTOTOXICITY; INHIBITORS; EXPRESSION</t>
  </si>
  <si>
    <t>BackgroundBetulinic acid (BA) has been well investigated for its antiproliferative and mitochondrial pathway-mediated apoptosis-inducing effects on various cancers. However, its poor solubility and off-target activity have limited its utility in clinical trials. Additionally, the immune modulatory role of betulinic acid analogue in the tumor microenvironment (TME) is largely unknown. Here, we designed a potential nanotherapy for colorectal cancer (CRC) with a lead betulinic acid analogue, named as 2c, carrying a 1,2,3-triazole-moiety attached to BA through a linker, found more effective than BA for inhibiting CRC cell lines, and was chosen here for this investigation. Epithelial cell adhesion molecule (EpCAM) is highly overexpressed on the CRC cell membrane. A single-stranded short oligonucleotide sequence, aptamer (Apt), that folds into a 3D-defined architecture can be used as a targeting ligand for its specific binding to a target protein. EpCAM targeting aptamer was designed for site-specific homing of aptamer-conjugated-2c-loaded nanoparticles (Apt-2cNP) at the CRC tumor site to enhance therapeutic potential and reduce off-target toxicity in normal cells. We investigated the in vitro and in vivo therapeutic efficacy and anti-tumorigenic immune response of aptamer conjugated nanotherapy in CRC-TME.MethodsAfter the characterization of nanoengineered aptamer conjugated betulinic acid nanotherapy, we evaluated therapeutic efficacy, tumor targeting efficiency, and anti-tumorigenic immune response using cell-based assays and mouse and rat models.ResultsWe found that Apt-2cNP improved drug bioavailability, enhanced its biological half-life, improved antiproliferative activity, and minimized off-target cytotoxicity. Importantly, in an in vivo TME, Apt-2cNP showed promising signs of anti-tumorigenic immune response (increased mDC/pDC ratio, enhanced M1 macrophage population, and CD8 T-cells). Furthermore, in vivo upregulation of pro-apoptotic while downregulation of anti-apoptotic genes and significant healing efficacy on cancer tissue histopathology suggest that Apt-2cNP had predominantly greater therapeutic potential than the non-aptamer-conjugated nanoparticles and free drug. Moreover, we observed greater tumor accumulation of the radiolabeled Apt-2cNP by live imaging in the CRC rat model.ConclusionsEnhanced therapeutic efficacy and robust anti-tumorigenic immune response of Apt-2cNP in the CRC-TME are promising indicators of its potential as a prospective therapeutic agent for managing CRC. However, further studies are warranted.</t>
  </si>
  <si>
    <t>[Dutta, Debasmita; Park, Jun Hyoung; Kaipparettu, Benny Abraham] Baylor Coll Med, Dept Mol &amp; Human Genet, Houston, TX 77030 USA; [Dutta, Debasmita; Al Hoque, Ashique; Quadir, Mohiuddin] North Dakota State Univ, Dept Coatings &amp; Polymer Mat, Fargo, ND 58105 USA; [Dutta, Debasmita; Al Hoque, Ashique; Paul, Brahamacharry; Banerjee, Soumyabrata; Mukherjee, Biswajit] Jadavpur Univ, Dept Pharmaceut Technol, Kolkata, India; [Chowdhury, Chinmay; Choudhury, Arghadip; Laha, Soumik; Boro, Priyanka] CSIR, Indian Inst Chem Biol, Kolkata, India; [Banerjee, Soumyabrata] Cent Michigan Univ, Dept Psychol, Mt Pleasant, MI 48859 USA; [Banerjee, Soumyabrata] Cent Michigan Univ, Neurosci Program, Mt Pleasant, MI 48859 USA; [Sepay, Nayim] Jadavpur Univ, Dept Chem, Kolkata, India; [Dutta, Debasmita] Dana Farber Canc Inst, Dept Med Oncol, Boston, MA 02215 USA; [Dutta, Debasmita] Harvard Med Sch, Boston, MA 02115 USA; [Banerjee, Soumyabrata] Vidyasagar Univ, Dept Human Physiol, Midnapore 721102, W Bengal, India</t>
  </si>
  <si>
    <t>Baylor College of Medicine; North Dakota State University Fargo; Jadavpur University; Council of Scientific &amp; Industrial Research (CSIR) - India; CSIR - Indian Institute of Chemical Biology (IICB); Central Michigan University; Central Michigan University; Jadavpur University; Harvard University; Harvard University Medical Affiliates; Dana-Farber Cancer Institute; Harvard University; Harvard Medical School; Vidyasagar University</t>
  </si>
  <si>
    <t>Dutta, D; Kaipparettu, BA (corresponding author), Baylor Coll Med, Dept Mol &amp; Human Genet, Houston, TX 77030 USA.;Dutta, D (corresponding author), North Dakota State Univ, Dept Coatings &amp; Polymer Mat, Fargo, ND 58105 USA.;Dutta, D; Mukherjee, B (corresponding author), Jadavpur Univ, Dept Pharmaceut Technol, Kolkata, India.;Dutta, D (corresponding author), Dana Farber Canc Inst, Dept Med Oncol, Boston, MA 02215 USA.;Dutta, D (corresponding author), Harvard Med Sch, Boston, MA 02115 USA.</t>
  </si>
  <si>
    <t>1021-7770</t>
  </si>
  <si>
    <t>1423-0127</t>
  </si>
  <si>
    <t>10.1186/s12929-024-01069-8</t>
  </si>
  <si>
    <t>Cell Biology; Medicine, Research &amp; Experimental</t>
  </si>
  <si>
    <t>Cell Biology; Research &amp; Experimental Medicine</t>
  </si>
  <si>
    <t>Tan, Mou Leong; Armanuos, Asaad M.; Ahmadianfar, Iman; Demir, Vahdettin; Heddam, Salim; Al-Areeq, Ahmed M.; Abba, Sani I.; Halder, Bijay; Kilinc, Huseyin Cagan; Yaseen, Zaher Mundher</t>
  </si>
  <si>
    <t>Evaluation of NASA POWER and ERA5-Land for estimating tropical precipitation and temperature extremes</t>
  </si>
  <si>
    <t>[Tan, Mou Leong] Univ Sains Malaysia, Sch Humanities, GeoInformat Unit, Geog Sect, Gelugor 11800, Penang, Malaysia; [Tan, Mou Leong] Nanjing Normal Univ, Sch Geog, Nanjing 210023, Peoples R China; [Armanuos, Asaad M.] Tanta Univ, Fac Engn, Irrigat &amp; Hydraul Engn Dept, Tanta 31733, Egypt; [Ahmadianfar, Iman] Behbahan Khatam Alanbia Univ Technol, Dept Civil Engn, Behbahan, Iran; [Demir, Vahdettin] KTO Karatay Univ, Dept Civil Engn, TR-42020 Konya, Turkiye; [Heddam, Salim] Univ 20 Aout 1955 Skikda, Fac Sci, Agron Dept, Route El Hadaik,BP 26, Skikda, Algeria; [Al-Areeq, Ahmed M.; Abba, Sani I.; Yaseen, Zaher Mundher] King Fahd Univ Petr &amp; Minerals KFUPM, Interdisciplinary Res Ctr Membranes &amp; Water Secur, Dhahran, Saudi Arabia; [Halder, Bijay] Vidyasagar Univ, Dept Remote Sensing &amp; GIS, Midnapore 721102, India; [Halder, Bijay] Al Ayen Univ, Sci Res Ctr, New era &amp; Dev Civil Engn Res Grp, Thi Qar 64001, Iraq; [Kilinc, Huseyin Cagan] Istanbul Aydin Univ, Dept Civil Engn, Istanbul, Turkiye; [Yaseen, Zaher Mundher] King Fahd Univ Petr &amp; Minerals, Civil &amp; Environm Engn Dept, Dhahran 31261, Saudi Arabia</t>
  </si>
  <si>
    <t>Universiti Sains Malaysia; Nanjing Normal University; Egyptian Knowledge Bank (EKB); Tanta University; KTO Karatay University; Universite de Skikda; King Fahd University of Petroleum &amp; Minerals; Vidyasagar University; Al-Ayen University; Istanbul Aydin University; King Fahd University of Petroleum &amp; Minerals</t>
  </si>
  <si>
    <t>Tan, ML (corresponding author), Univ Sains Malaysia, Sch Humanities, GeoInformat Unit, Geog Sect, Gelugor 11800, Penang, Malaysia.;Tan, ML (corresponding author), Nanjing Normal Univ, Sch Geog, Nanjing 210023, Peoples R China.;Yaseen, ZM (corresponding author), King Fahd Univ Petr &amp; Minerals KFUPM, Interdisciplinary Res Ctr Membranes &amp; Water Secur, Dhahran, Saudi Arabia.;Yaseen, ZM (corresponding author), King Fahd Univ Petr &amp; Minerals, Civil &amp; Environm Engn Dept, Dhahran 31261, Saudi Arabia.</t>
  </si>
  <si>
    <t>10.1016/j.jhydrol.2023.129940</t>
  </si>
  <si>
    <t>Choudhury, Moharana; Sahoo, Subhrajeet; Samanta, Palas; Tiwari, Arushi; Tiwari, Alavya; Chadha, Utkarsh; Bhardwaj, Preetam; Nalluri, Abhishek; Eticha, Tolera Kuma; Chakravorty, Arghya</t>
  </si>
  <si>
    <t>COVID-19: An Accelerator for Global Plastic Consumption and Its Implications</t>
  </si>
  <si>
    <t>JOURNAL OF ENVIRONMENTAL AND PUBLIC HEALTH</t>
  </si>
  <si>
    <t>[Choudhury, Moharana] Voice Environm VoE, Environm Res &amp; Management Div, Gauhati 781034, Assam, India; [Choudhury, Moharana] Tezpur Univ, Dept Environm Sci, Tezpur, Assam, India; [Sahoo, Subhrajeet] Vidyasagar Univ, Ctr Life Sci, Midnapore 721102, India; [Samanta, Palas] Univ North Bengal, Dept Environm Sci, Sukanta Mahavidyalaya, Dhupguri, W Bengal, India; [Tiwari, Arushi] Indian Inst Technol IIT, Dept Chem, Madras, Tamil Nadu, India; [Tiwari, Alavya] Vellore Inst Technol, Sch Chem Engn SCHEME, Vellore, Tamil Nadu, India; [Chadha, Utkarsh] Vellore Inst Technol, Sch Mech Engn, Vellore 632014, Tamil Nadu, India; [Chadha, Utkarsh] Univ Toronto, Fac Appl Sci &amp; Engn, Sch Grad Studies, Dept Mat Sci &amp; Engn, Toronto, ON M5S 2Z9, Canada; [Bhardwaj, Preetam; Chakravorty, Arghya] Vellore Inst Technol, Ctr Nanotechnol Res, Vellore 632014, India; [Nalluri, Abhishek] Huazhong Univ Sci &amp; Technol, Dept Mat Sci &amp; Engn, Wuhan 430074, Peoples R China; [Eticha, Tolera Kuma] Ambo Univ, Coll Nat &amp; Comp Sci, Dept Biol, Ambo, Ethiopia; [Chakravorty, Arghya] Vellore Inst Technol, Sch Biosci &amp; Technol, Vellore 632014, Tamil Nadu, India; [Chakravorty, Arghya] Baranagar Baghajatin Social Welf Org, Res &amp; Dev Act Wing, Kolkata 700036, India</t>
  </si>
  <si>
    <t>Tezpur University; Vidyasagar University; University of North Bengal; Indian Institute of Technology System (IIT System); Indian Institute of Technology (IIT) - Madras; Vellore Institute of Technology (VIT); VIT Vellore; Vellore Institute of Technology (VIT); VIT Vellore; University of Toronto; Vellore Institute of Technology (VIT); VIT Vellore; Huazhong University of Science &amp; Technology; Ambo University; Vellore Institute of Technology (VIT); VIT Vellore</t>
  </si>
  <si>
    <t>Chakravorty, A (corresponding author), Vellore Inst Technol, Ctr Nanotechnol Res, Vellore 632014, India.;Nalluri, A (corresponding author), Huazhong Univ Sci &amp; Technol, Dept Mat Sci &amp; Engn, Wuhan 430074, Peoples R China.;Eticha, TK (corresponding author), Ambo Univ, Coll Nat &amp; Comp Sci, Dept Biol, Ambo, Ethiopia.;Chakravorty, A (corresponding author), Vellore Inst Technol, Sch Biosci &amp; Technol, Vellore 632014, Tamil Nadu, India.;Chakravorty, A (corresponding author), Baranagar Baghajatin Social Welf Org, Res &amp; Dev Act Wing, Kolkata 700036, India.</t>
  </si>
  <si>
    <t>1687-9805</t>
  </si>
  <si>
    <t>1687-9813</t>
  </si>
  <si>
    <t>OCT 7</t>
  </si>
  <si>
    <t>10.1155/2022/1066350</t>
  </si>
  <si>
    <t>hybrid, Green Published, Green Submitted</t>
  </si>
  <si>
    <t>Das, Monojit; Mondal, Susmita; Ghosh, Ria; Biswas, Pritam; Moussa, Ziad; Darbar, Soumendra; Ahmed, Saleh A.; Das, Anjan Kumar; Bhattacharya, Siddhartha Sankar; Pal, Debasish; Mallick, Asim Kumar; Chakrabarti, Prantar; Kundu, Jayanta Kumar; Adhikari, Aniruddha; Pal, Samir Kumar</t>
  </si>
  <si>
    <t>A nano erythropoiesis stimulating agent for the treatment of anemia and associated disorders</t>
  </si>
  <si>
    <t>ISCIENCE</t>
  </si>
  <si>
    <t>[Das, Monojit; Das, Anjan Kumar; Kundu, Jayanta Kumar] Vidyasagar Univ, Dept Zool, Midnapore 721102, India; [Das, Monojit; Bhattacharya, Siddhartha Sankar; Pal, Debasish; Pal, Samir Kumar] Univ Calcutta, Uluberia Coll, Dept Zool, Uluberia 711315, India; [Mondal, Susmita; Ghosh, Ria; Pal, Samir Kumar] SN Bose Natl Ctr Basic Sci, Dept Chem Biol &amp; Macromol Sci, Block JD,Sector 3,Salt Lake, Kolkata 700106, India; [Ghosh, Ria] Univ Calcutta, Dept Biochem, 35 Ballygunge Circular Rd, Kolkata 700019, India; [Biswas, Pritam] St Xaviers Coll, Dept Microbiol, 30 Mother Teresa Sarani, Kolkata 700016, India; [Moussa, Ziad] United Arab Emirates Univ, Coll Sci, Dept Chem, POB 15551, Al Ain, U Arab Emirates; [Darbar, Soumendra] Deys Med Stores Mfg Ltd, Res &amp; Dev Div, 62 Bondel Rd, Kolkata 700019, India; [Ahmed, Saleh A.] Umm Al Qura Univ, Fac Appl Sci, Dept Chem, Mecca 21955, Saudi Arabia; [Ahmed, Saleh A.] Assiut Univ, Fac Sci, Dept Chem, Assiut 71516, Egypt; [Das, Anjan Kumar] Coochbehar Govt Med Coll &amp; Hosp, Dept Pathol, Cooch Behar 736101, India; [Mallick, Asim Kumar] Nil Ratan Sircar Med Coll &amp; Hosp, Dept Pediat Med, Kolkata 700014, India; [Chakrabarti, Prantar] Vivekananda Inst Med Sci, Dept Hematol, Kolkata 700026, India; [Adhikari, Aniruddha] Univ Calif Los Angeles UCLA, UCLA Samueli Sch Engn, Dept Chem &amp; Biomol Engn, Los Angeles, CA 90095 USA</t>
  </si>
  <si>
    <t>Vidyasagar University; University of Calcutta; Department of Science &amp; Technology (India); SN Bose National Centre for Basic Science (SNBNCBS); University of Calcutta; St. Xavier's College Kolkata; United Arab Emirates University; Umm Al Qura University; Egyptian Knowledge Bank (EKB); Assiut University; University of California System; University of California Los Angeles</t>
  </si>
  <si>
    <t>Kundu, JK (corresponding author), Vidyasagar Univ, Dept Zool, Midnapore 721102, India.;Pal, SK (corresponding author), Univ Calcutta, Uluberia Coll, Dept Zool, Uluberia 711315, India.;Pal, SK (corresponding author), SN Bose Natl Ctr Basic Sci, Dept Chem Biol &amp; Macromol Sci, Block JD,Sector 3,Salt Lake, Kolkata 700106, India.;Adhikari, A (corresponding author), Univ Calif Los Angeles UCLA, UCLA Samueli Sch Engn, Dept Chem &amp; Biomol Engn, Los Angeles, CA 90095 USA.</t>
  </si>
  <si>
    <t>2589-0042</t>
  </si>
  <si>
    <t>SEP 16</t>
  </si>
  <si>
    <t>10.1016/j.isci.2022.105021</t>
  </si>
  <si>
    <t>Khan, Ansar; Carlosena, Laura; Khorat, Samiran; Khatun, Rupali; Das, Debashish; Doan, Quang-Van; Hamdi, Rafiq; Aziz, Sk Mohammad; Akbari, Hashem; Santamouris, Mattheos; Niyogi, Dev</t>
  </si>
  <si>
    <t>Urban cooling potential and cost comparison of heat mitigation techniques for their impact on the lower atmosphere</t>
  </si>
  <si>
    <t>COMPUTATIONAL URBAN SCIENCE</t>
  </si>
  <si>
    <t>[Khan, Ansar] Univ Calcutta, Lalbaba Coll, Dept Geog, Kolkata, India; [Carlosena, Laura] Publ Univ Navarre UPNA, Engn Dept, Arrosadia Campus, Pamplona 31006, Spain; [Khorat, Samiran; Khatun, Rupali] Jadavpur Univ, Sch Environm Studies, Kolkata, India; [Das, Debashish] Jadavpur Univ, Dept Architecture, Kolkata, India; [Doan, Quang-Van] Univ Tsukuba, Ctr Computat Sci, Tsukuba, Japan; [Hamdi, Rafiq] Royal Meteorol Inst Belgium, Brussels, Belgium; [Aziz, Sk Mohammad] Vidyasagar Univ, Narajole Raj Coll, Dept Chem, Midnapore, India; [Akbari, Hashem] Concordia Univ, Dept Bldg Civil &amp; Environm Engn, Heat Isl Grp, Montreal, PQ, Canada; [Santamouris, Mattheos] Univ New South Wales, Dept Built Environm, Sydney, Australia; [Niyogi, Dev] Univ Texas Austin, Jackson Sch Geosci, Cockrell Sch Engn, Dept Geol Sci,Dept Civil Architectural &amp; Environm, Austin, TX USA</t>
  </si>
  <si>
    <t>University of Calcutta; Universidad Publica de Navarra; Jadavpur University; Jadavpur University; University of Tsukuba; Royal Meteorological Institute of Belgium; Vidyasagar University; Concordia University - Canada; University of New South Wales Sydney; University of Texas System; University of Texas Austin</t>
  </si>
  <si>
    <t>Carlosena, L (corresponding author), Publ Univ Navarre UPNA, Engn Dept, Arrosadia Campus, Pamplona 31006, Spain.</t>
  </si>
  <si>
    <t>2730-6852</t>
  </si>
  <si>
    <t>10.1007/s43762-023-00101-1</t>
  </si>
  <si>
    <t>Computer Science, Interdisciplinary Applications; Regional &amp; Urban Planning</t>
  </si>
  <si>
    <t>Computer Science; Public Administration</t>
  </si>
  <si>
    <t>Halder, K; Srivastava, AK; Ghosh, A; Nabik, R; Pan, SBT; Chatterjee, U; Bisai, D; Pal, SC; Zeng, WZ; Ewert, F; Gaiser, T; Pande, CB; Islam, AMT; Alam, E; Islam, MK</t>
  </si>
  <si>
    <t>Halder, Krishnagopal; Srivastava, Amit Kumar; Ghosh, Anitabha; Nabik, Ranajit; Pan, Subrata; Chatterjee, Uday; Bisai, Dipak; Pal, Subodh Chandra; Zeng, Wenzhi; Ewert, Frank; Gaiser, Thomas; Pande, Chaitanya Baliram; Islam, Abu Reza Md. Towfiqul; Alam, Edris; Islam, Md Kamrul</t>
  </si>
  <si>
    <t>Application of bagging and boosting ensemble machine learning techniques for groundwater potential mapping in a drought-prone agriculture region of eastern India</t>
  </si>
  <si>
    <t>ENVIRONMENTAL SCIENCES EUROPE</t>
  </si>
  <si>
    <t>Bankura district; Groundwater potential; Drought; Random forest; Voting ensemble</t>
  </si>
  <si>
    <t>Groundwater is a primary source of drinking water for billions worldwide. It plays a crucial role in irrigation, domestic, and industrial uses, and significantly contributes to drought resilience in various regions. However, excessive groundwater discharge has left many areas vulnerable to potable water shortages. Therefore, assessing groundwater potential zones (GWPZ) is essential for implementing sustainable management practices to ensure the availability of groundwater for present and future generations. This study aims to delineate areas with high groundwater potential in the Bankura district of West Bengal using four machine learning methods: Random Forest (RF), Adaptive Boosting (AdaBoost), Extreme Gradient Boosting (XGBoost), and Voting Ensemble (VE). The models used 161 data points, comprising 70% of the training dataset, to identify significant correlations between the presence and absence of groundwater in the region. Among the methods, Random Forest (RF) and Extreme Gradient Boosting (XGBoost) proved to be the most effective in mapping groundwater potential, suggesting their applicability in other regions with similar hydrogeological conditions. The performance metrics for RF are very good with a precision of 0.919, recall of 0.971, F1-score of 0.944, and accuracy of 0.943. This indicates a strong capability to accurately predict groundwater zones with minimal false positives and negatives. Adaptive Boosting (AdaBoost) demonstrated comparable performance across all metrics (precision: 0.919, recall: 0.971, F1-score: 0.944, accuracy: 0.943), highlighting its effectiveness in predicting groundwater potential areas accurately; whereas, Extreme Gradient Boosting (XGBoost) outperformed the other models slightly, with higher values in all metrics: precision (0.944), recall (0.971), F1-score (0.958), and accuracy (0.957), suggesting a more refined model performance. The Voting Ensemble (VE) approach also showed enhanced performance, mirroring XGBoost's metrics (precision: 0.944, recall: 0.971, F1-score: 0.958, accuracy: 0.957). This indicates that combining the strengths of individual models leads to better predictions. The groundwater potentiality zoning across the Bankura district varied significantly, with areas of very low potentiality accounting for 41.81% and very high potentiality at 24.35%. The uncertainty in predictions ranged from 0.0 to 0.75 across the study area, reflecting the variability in groundwater availability and the need for targeted management strategies.In summary, this study highlights the critical need for assessing and managing groundwater resources effectively using advanced machine learning techniques. The findings provide a foundation for better groundwater management practices, ensuring sustainable use and conservation in Bankura district and beyond.</t>
  </si>
  <si>
    <t>[Halder, Krishnagopal] Vidyasagar Univ, Dept Remote Sensing &amp; GIS, Vidyasagar Univ Rd, Midnapore 721102, West Bengal, India; [Srivastava, Amit Kumar; Ewert, Frank; Gaiser, Thomas] Univ Bonn, Inst Crop Sci &amp; Resource Conservat, Katzenburgweg,5D, D-53115 Bonn, Germany; [Ghosh, Anitabha] Affiliated Vidyasagar Univ, Egra SSB Coll, Coastal Environm Studies Res Ctr, Kharagpur 721429, West Bengal, India; [Nabik, Ranajit; Pan, Subrata] Bankura Christian Coll, Dept Geog, Bankura 722101, West Bengal, India; [Chatterjee, Uday] Bhatter Coll, Dept Geog, Dantan, Kharagpur 721426, West Bengal, India; [Chatterjee, Uday; Bisai, Dipak] Affiliated Vidyasagar Univ, Egra SSB Coll, Coastal Environm Studies Res Ctr, Kharagpur 721429, West Bengal, India; [Pal, Subodh Chandra] Univ Burdwan, Dept Geog, Purba Bardhaman 713104, West Bengal, India; [Zeng, Wenzhi] Hohai Univ, Coll Agr Sci &amp; Engn, 8, West Focheng Rd, Nanjing, Jiangsu, Peoples R China; [Pande, Chaitanya Baliram] Univ Tenaga Nas, Inst Energy Infrastructure, Kajang 43000, Malaysia; [Pande, Chaitanya Baliram] Al Ayen Univ, Sci Res Ctr, New Era &amp; Dev Civil Engn Res Grp, Nasiriyah 64001, Thi Qar, Iraq; [Islam, Abu Reza Md. Towfiqul] Begum Rokeya Univ, Dept Disaster Management, Rangpur 5400, Bangladesh; [Islam, Abu Reza Md. Towfiqul] Daffodil Int Univ, Dept Dev Studies, Dhaka 1216, Bangladesh; [Alam, Edris] Rabdan Acad, Fac Resilience, Abu Dhabi 22401, U Arab Emirates; [Alam, Edris] Univ Chittagong, Dept Geog &amp; Environm Studies, Chittagong 4331, Bangladesh; [Islam, Md Kamrul] King Faisal Univ, Coll Engn, Dept Civil &amp; Environm Engn, Al Hasa 31982, Saudi Arabia; [Halder, Krishnagopal] Indian Inst Technol Roorkee, Ctr Excellence Disaster Mitigat &amp; Management CoEDM, Roorkee 247667, Uttarakhand, India; [Srivastava, Amit Kumar; Ewert, Frank] Leibniz Ctr Agr Landscape Res ZALF, Eberswalder Str 84, D-15374 Muncheberg, Germany</t>
  </si>
  <si>
    <t>Vidyasagar University; University of Bonn; University of Burdwan; Hohai University; Universiti Tenaga Nasional; Al-Ayen University; Daffodil International University; University of Chittagong; King Faisal University; Indian Institute of Technology System (IIT System); Indian Institute of Technology (IIT) - Roorkee; Leibniz Association; Leibniz Zentrum fur Agrarlandschaftsforschung (ZALF)</t>
  </si>
  <si>
    <t>Pal, SC (corresponding author), Univ Burdwan, Dept Geog, Purba Bardhaman 713104, West Bengal, India.</t>
  </si>
  <si>
    <t>2190-4707</t>
  </si>
  <si>
    <t>2190-4715</t>
  </si>
  <si>
    <t>10.1186/s12302-024-00981-y</t>
  </si>
  <si>
    <t>Halder, Bijay; Ahmadianfar, Iman; Heddam, Salim; Mussa, Zainab Haider; Goliatt, Leonardo; Tan, Mou Leong; Sa'adi, Zulfaqar; Al-Khafaji, Zainab; Al-Ansari, Nadhir; Jawad, Ali H.; Yaseen, Zaher Mundher</t>
  </si>
  <si>
    <t>Machine learning-based country-level annual air pollutants exploration using Sentinel-5P and Google Earth Engine</t>
  </si>
  <si>
    <t>[Halder, Bijay] Vidyasagar Univ, Dept Remote Sensing &amp; GIS, Midnapore 721102, India; [Halder, Bijay] Al Ayen Univ, Sci Res Ctr, New Era &amp; Dev Civil Engn Res Grp, Nasiriyah 64001, Thi Qar, Iraq; [Ahmadianfar, Iman] Behbahan Khatam Alanbia Univ Technol, Dept Civil Engn, Behbahan, Iran; [Heddam, Salim] University, Fac Sci, Agron Dept, 20 Aout 1955 Skikda,BP 26,Route Hadaik, Skikda, Algeria; [Mussa, Zainab Haider] Univ Al Ameed, Coll Pharm, Karbala, Iraq; [Goliatt, Leonardo] Univ Fed Juiz de Fora, Computat Modeling Program, Juiz De Fora, MG, Brazil; [Tan, Mou Leong] Univ Sains Malaysia, Sch Humanities, GeoInformat Unit, Geog Sect, George Town 11800, Malaysia; [Tan, Mou Leong] Nanjing Normal Univ, Sch Geog Sci, Nanjing 210023, Peoples R China; [Sa'adi, Zulfaqar] Univ Teknol Malaysia UTM, Res Inst Sustainable Environm, Ctr Environm Sustainabil &amp; Water Secur, Sekudai 81310, Johor, Malaysia; [Al-Khafaji, Zainab] AL Mustaqbal Univ Coll, Dept Bldg &amp; Construction Technol Engn, Hillah 5100, Iraq; [Al-Ansari, Nadhir] Lulea Univ Technol, Civil Environm &amp; Nat Resources Engn, S-97187 Lulea, Sweden; [Jawad, Ali H.] Univ Teknol MARA, Fac Appl Sci, Shah Alam 40450, Selangor, Malaysia; [Yaseen, Zaher Mundher] King Fahd Univ Petr &amp; Minerals, Civil &amp; Environm Engn Dept, Dhahran 31261, Saudi Arabia; [Yaseen, Zaher Mundher] King Fahd Univ Petr &amp; Minerals KFUPM, Interdisciplinary Res Ctr Membranes &amp; Water Secur, Dhahran, Saudi Arabia</t>
  </si>
  <si>
    <t>Vidyasagar University; Al-Ayen University; University of Al-Ameed; Universidade Federal de Juiz de Fora; Universiti Sains Malaysia; Nanjing Normal University; Universiti Teknologi Malaysia; Al-Mustaqbal University College; Lulea University of Technology; Universiti Teknologi MARA; King Fahd University of Petroleum &amp; Minerals; King Fahd University of Petroleum &amp; Minerals</t>
  </si>
  <si>
    <t>Al-Ansari, N (corresponding author), Lulea Univ Technol, Civil Environm &amp; Nat Resources Engn, S-97187 Lulea, Sweden.;Yaseen, ZM (corresponding author), King Fahd Univ Petr &amp; Minerals, Civil &amp; Environm Engn Dept, Dhahran 31261, Saudi Arabia.;Yaseen, ZM (corresponding author), King Fahd Univ Petr &amp; Minerals KFUPM, Interdisciplinary Res Ctr Membranes &amp; Water Secur, Dhahran, Saudi Arabia.</t>
  </si>
  <si>
    <t>10.1038/s41598-023-34774-9</t>
  </si>
  <si>
    <t>Jana, Chiranjibe; Pal, Madhumangal</t>
  </si>
  <si>
    <t>Generalized (T, Γ, (SIC))-Derivations on c-Subtraction Algebras</t>
  </si>
  <si>
    <t>[Jana, Chiranjibe; Pal, Madhumangal] Vidyasagar Univ, Dept Appl Math Oceanol &amp; Comp Programming, Midnapore 721102, India</t>
  </si>
  <si>
    <t>Paul, Tapas Kumar; Pal, Madhumangal; Jana, Chiranjibe</t>
  </si>
  <si>
    <t>Multi-attribute decision making method using advanced Pythagorean fuzzy weighted geometric operator and their applications for real estate company selection</t>
  </si>
  <si>
    <t>[Paul, Tapas Kumar; Pal, Madhumangal; Jana, Chiranjibe] Vidyasagar Univ, Dept Appl Math Oceanol &amp; Comp Programming, Midnapore 721102, India</t>
  </si>
  <si>
    <t>e07340</t>
  </si>
  <si>
    <t>10.1016/j.heliyon.2021.e07340</t>
  </si>
  <si>
    <t>Mondal, Prabir; Maity, Ratnabali; Mallick, Chhanda</t>
  </si>
  <si>
    <t>In vitro spermicidal effect of Thevetia Peruviana leaves on human spermatozoa</t>
  </si>
  <si>
    <t>ANDROLOGIA</t>
  </si>
  <si>
    <t>[Mondal, Prabir; Maity, Ratnabali; Mallick, Chhanda] Vidyasagar Univ, Dept Biomed Lab Sci &amp; Management, Midnapore, India</t>
  </si>
  <si>
    <t>Mallick, C (corresponding author), Vidyasagar Univ, Dept Biomed Lab Sci &amp; Management, Clin Nutr &amp; Dietet, Midnapore 721102, W Bengal, India.</t>
  </si>
  <si>
    <t>0303-4569</t>
  </si>
  <si>
    <t>1439-0272</t>
  </si>
  <si>
    <t>Andrologia</t>
  </si>
  <si>
    <t>e14323</t>
  </si>
  <si>
    <t>10.1111/and.14323</t>
  </si>
  <si>
    <t>Andrology</t>
  </si>
  <si>
    <t>Endocrinology &amp; Metabolism</t>
  </si>
  <si>
    <t>Floristic composition and biological spectrum of a sacred grove in West Midnapore district, West Bengal, India</t>
  </si>
  <si>
    <t>ACTA ECOLOGICA SINICA</t>
  </si>
  <si>
    <t>[Sen, Uday Kumar; Bhakat, Ram Kumar] Vidyasagar Univ, Dept Bot &amp; Forestry, Ecol &amp; Taxon Lab, Midnapore 721102, West Bengal, India</t>
  </si>
  <si>
    <t>Sen, UK (corresponding author), Vidyasagar Univ, Dept Bot &amp; Forestry, Ecol &amp; Taxon Lab, Midnapore 721102, West Bengal, India.</t>
  </si>
  <si>
    <t>1872-2032</t>
  </si>
  <si>
    <t>ACTA ECOL SINICA</t>
  </si>
  <si>
    <t>Acta Ecol. Sin.</t>
  </si>
  <si>
    <t>10.1016/j.chnaes.2020.09.005</t>
  </si>
  <si>
    <t>Dinda, Santanu; Das Chatterjee, Nilanjana; Ghosh, Subrata</t>
  </si>
  <si>
    <t>An integrated simulation approach to the assessment of urban growth pattern and loss in urban green space in Kolkata, India: A GIS-based analysis</t>
  </si>
  <si>
    <t>[Dinda, Santanu; Das Chatterjee, Nilanjana; Ghosh, Subrata] Vidyasagar Univ, Dept Geog, Midnapore 721102, W Bengal, India</t>
  </si>
  <si>
    <t>Dinda, S (corresponding author), Vidyasagar Univ, Dept Geog, Midnapore 721102, W Bengal, India.</t>
  </si>
  <si>
    <t>10.1016/j.ecolind.2020.107178</t>
  </si>
  <si>
    <t>Roy, Suvajit; Pal, Radha Raman</t>
  </si>
  <si>
    <t>Electronically tunable third-order dual-mode quadrature sinusoidal oscillators employing VDCCs and all grounded components</t>
  </si>
  <si>
    <t>INTEGRATION-THE VLSI JOURNAL</t>
  </si>
  <si>
    <t>[Roy, Suvajit; Pal, Radha Raman] Vidyasagar Univ, Dept Phys, Midnapore 721102, W Bengal, India</t>
  </si>
  <si>
    <t>Pal, RR (corresponding author), Vidyasagar Univ, Dept Phys, Midnapore 721102, W Bengal, India.</t>
  </si>
  <si>
    <t>0167-9260</t>
  </si>
  <si>
    <t>1872-7522</t>
  </si>
  <si>
    <t>INTEGRATION</t>
  </si>
  <si>
    <t>Integration-VLSI J.</t>
  </si>
  <si>
    <t>10.1016/j.vlsi.2020.09.006</t>
  </si>
  <si>
    <t>Computer Science, Hardware &amp; Architecture; Engineering, Electrical &amp; Electronic</t>
  </si>
  <si>
    <t>Ghosh, Abhishek; Maiti, Ramkrishna</t>
  </si>
  <si>
    <t>Application of SWAT, Random Forest and artificial neural network models for sediment yield estimation and prediction of gully erosion susceptible zones: study on Mayurakshi River Basin of Eastern India</t>
  </si>
  <si>
    <t>[Ghosh, Abhishek; Maiti, Ramkrishna] Vidyasagar Univ, Dept Geog, Midnapore 721102, W Bengal, India</t>
  </si>
  <si>
    <t>10.1080/10106049.2021.2022016</t>
  </si>
  <si>
    <t>Mahapatra, Tanmoy; Pal, Madhumangal</t>
  </si>
  <si>
    <t>An investigation on m-polar fuzzy tolerance graph and its application</t>
  </si>
  <si>
    <t>[Mahapatra, Tanmoy; Pal, Madhumangal] Vidyasagar Univ, Dept Appl Math Oceanol &amp; Comp Programming, Midnapore 721102, India</t>
  </si>
  <si>
    <t>10.1007/s00521-021-06529-y</t>
  </si>
  <si>
    <t>Bera, Sanchari; Pal, Madhumangal</t>
  </si>
  <si>
    <t>A novel concept of domination in m-polar interval-valued fuzzy graph and its application</t>
  </si>
  <si>
    <t>[Bera, Sanchari; Pal, Madhumangal] Vidyasagar Univ, Dept Appl Math Oceanol &amp; Comp Programming, Midnapore 721102, India</t>
  </si>
  <si>
    <t>10.1007/s00521-021-06405-9</t>
  </si>
  <si>
    <t>Patra, Partha Sarathi</t>
  </si>
  <si>
    <t>A note on Hardy's theorem and rotations</t>
  </si>
  <si>
    <t>SEMIGROUP FORUM</t>
  </si>
  <si>
    <t>[Patra, Partha Sarathi] Vidyasagar Univ, Hijli Coll, Dept Math, PO Hijli Cooperat, Kharagpur 721306, W Bengal, India</t>
  </si>
  <si>
    <t>Patra, PS (corresponding author), Vidyasagar Univ, Hijli Coll, Dept Math, PO Hijli Cooperat, Kharagpur 721306, W Bengal, India.</t>
  </si>
  <si>
    <t>0037-1912</t>
  </si>
  <si>
    <t>1432-2137</t>
  </si>
  <si>
    <t>Semigr. Forum</t>
  </si>
  <si>
    <t>10.1007/s00233-021-10191-0</t>
  </si>
  <si>
    <t>Giri, Raghu Nandan; Mondal, Shyamal Kumar; Maiti, Manoranjan</t>
  </si>
  <si>
    <t>Analysis of strategies for substitutable and complementary products in a two-levels fuzzy supply chain system</t>
  </si>
  <si>
    <t>[Giri, Raghu Nandan; Mondal, Shyamal Kumar; Maiti, Manoranjan] Vidyasagar Univ, Dept Appl Math, Oceanol &amp; Comp Programming, Midnapore 721102, India</t>
  </si>
  <si>
    <t>Giri, RN (corresponding author), Vidyasagar Univ, Dept Appl Math, Oceanol &amp; Comp Programming, Midnapore 721102, India.</t>
  </si>
  <si>
    <t>10.1007/s12351-018-0443-9</t>
  </si>
  <si>
    <t>Fifth sustainable development goal gender equality in India: analysis by mathematics of uncertainty and covering of fuzzy graphs</t>
  </si>
  <si>
    <t>10.1007/s00521-021-06136-x</t>
  </si>
  <si>
    <t>Representation and application of Fuzzy soft sets in type-2 environment</t>
  </si>
  <si>
    <t>[Paik, Biplab; Mondal, Shyamal Kumar] Vidyasagar Univ, Dept Appl Math Oceanol &amp; Comp Programming, Midnapore 721102, WB, India</t>
  </si>
  <si>
    <t>Paik, B (corresponding author), Vidyasagar Univ, Dept Appl Math Oceanol &amp; Comp Programming, Midnapore 721102, WB, India.</t>
  </si>
  <si>
    <t>10.1007/s40747-021-00286-0</t>
  </si>
  <si>
    <t>Optimization in business strategy as a part of sustainable economic growth using clique covering of fuzzy graphs</t>
  </si>
  <si>
    <t>10.1007/s00500-021-05670-z</t>
  </si>
  <si>
    <t>Portfolio selection as a multicriteria group decision making in Pythagorean fuzzy environment with GRA and FAHP framework</t>
  </si>
  <si>
    <t>[Paul, Tapas Kumar; Pal, Madhumangal; Jana, Chiranjibe] Vidyasagar Univ, Dept Appl Math Oceanol &amp; Comp Programming, Midnapore 721102, W Bengal, India</t>
  </si>
  <si>
    <t>Pal, M (corresponding author), Vidyasagar Univ, Dept Appl Math Oceanol &amp; Comp Programming, Midnapore 721102, W Bengal, India.</t>
  </si>
  <si>
    <t>10.1002/int.22635</t>
  </si>
  <si>
    <t>Application of Choquet integral in interval type-2 Pythagorean fuzzy sustainable supply chain management under risk</t>
  </si>
  <si>
    <t>[Mondal, Arijit; Roy, Sankar Kumar] Vidyasagar Univ, Dept Appl Math Oceanol &amp; Comp Programming, Midnapore 721102, W Bengal, India</t>
  </si>
  <si>
    <t>10.1002/int.22623</t>
  </si>
  <si>
    <t>Hore, Shouvik N.</t>
  </si>
  <si>
    <t>'After Nature' in William Wordsworth's 'Speech at the Laying of the Foundation Stone.'</t>
  </si>
  <si>
    <t>[Hore, Shouvik N.] Vidyasagar Univ, Midnapore, W Bengal, India</t>
  </si>
  <si>
    <t>Hore, SN (corresponding author), Vidyasagar Univ, Midnapore, W Bengal, India.</t>
  </si>
  <si>
    <t>Behavioural analysis of two prey-two predator model</t>
  </si>
  <si>
    <t>ECOLOGICAL COMPLEXITY</t>
  </si>
  <si>
    <t>1476-945X</t>
  </si>
  <si>
    <t>1476-9840</t>
  </si>
  <si>
    <t>ECOL COMPLEX</t>
  </si>
  <si>
    <t>Ecol. Complex.</t>
  </si>
  <si>
    <t>10.1016/j.ecocom.2021.100942</t>
  </si>
  <si>
    <t>Valorisation of toxic paper mill waste through vermicomposting: An insight towards cleaner engineering through alleviation of wastes</t>
  </si>
  <si>
    <t>CLEANER ENGINEERING AND TECHNOLOGY</t>
  </si>
  <si>
    <t>2666-7908</t>
  </si>
  <si>
    <t>CLEAN ENG TECHNOL</t>
  </si>
  <si>
    <t>Cleaner Eng. Technol.</t>
  </si>
  <si>
    <t>10.1016/j.clet.2021.100070</t>
  </si>
  <si>
    <t>Ghosh, Subrata; Chatterjee, Nilanjana Das; Dinda, Santanu</t>
  </si>
  <si>
    <t>Urban ecological security assessment and forecasting using integrated DEMATEL-ANP and CA-Markov models: A case study on Kolkata Metropolitan Area, India</t>
  </si>
  <si>
    <t>[Ghosh, Subrata; Chatterjee, Nilanjana Das; Dinda, Santanu] Vidyasagar Univ, Dept Geog, Midnapore 721102, W Bengal, India</t>
  </si>
  <si>
    <t>Ghosh, S (corresponding author), Vidyasagar Univ, Dept Geog, Midnapore 721102, W Bengal, India.</t>
  </si>
  <si>
    <t>10.1016/j.scs.2021.102773</t>
  </si>
  <si>
    <t>Spillover democratisation: Reflections from MENA politics</t>
  </si>
  <si>
    <t>[Ghosh, Sujay] Vidyasagar Univ, Dept Polit Sci, Midnapore 721102, WB, India</t>
  </si>
  <si>
    <t>Ghosh, S (corresponding author), Vidyasagar Univ, Dept Polit Sci, Midnapore 721102, WB, India.</t>
  </si>
  <si>
    <t>10.1177/2057891121995570</t>
  </si>
  <si>
    <t>Some m-polar fuzzy operators and their application in multiple-attribute decision-making process</t>
  </si>
  <si>
    <t>10.1007/s12046-021-01599-z</t>
  </si>
  <si>
    <t>Multi-criteria decision making process based on some single-valued neutrosophic Dombi power aggregation operators</t>
  </si>
  <si>
    <t>10.1007/s00500-020-05509-z</t>
  </si>
  <si>
    <t>First Zagreb index on a fuzzy graph and its application</t>
  </si>
  <si>
    <t>10.3233/JIFS-201293</t>
  </si>
  <si>
    <t>Response to letter to the editor regarding Bhattacharya et al. (2020) 'sub-basin prioritization for assessment of soil erosion susceptibility in Kangsabati, a plateau basin: A comparison between MCDM and SWAT models</t>
  </si>
  <si>
    <t>10.1016/j.scitotenv.2021.148498</t>
  </si>
  <si>
    <t>Qualitative assessment of paper mill waste valorization through combinatorial PLFA markers and spectroscopical analysis: An ecotechnology towards biotransformation of waste to resource</t>
  </si>
  <si>
    <t>[Ganguly, Ram Kumar; Chakraborty, Susanta Kumar] Vidyasagar Univ, Dept Zool, Midnapore 721102, W Bengal, India</t>
  </si>
  <si>
    <t>10.1016/j.eti.2021.101532</t>
  </si>
  <si>
    <t>Bakshi, Trisha; Bhattacharyya, Asmita</t>
  </si>
  <si>
    <t>Socially Distanced or Socially Connected? Well-being through ICT Usage among the Indian Elderly during COVID-19</t>
  </si>
  <si>
    <t>MILLENNIAL ASIA</t>
  </si>
  <si>
    <t>[Bakshi, Trisha; Bhattacharyya, Asmita] Vidyasagar Univ, Dept Sociol, Midnapore 721102, W Bengal, India</t>
  </si>
  <si>
    <t>Bhattacharyya, A (corresponding author), Vidyasagar Univ, Dept Sociol, Midnapore 721102, W Bengal, India.</t>
  </si>
  <si>
    <t>0976-3996</t>
  </si>
  <si>
    <t>2321-7081</t>
  </si>
  <si>
    <t>MILLENN ASIA</t>
  </si>
  <si>
    <t>Millenn. Asia</t>
  </si>
  <si>
    <t>10.1177/0976399621989910</t>
  </si>
  <si>
    <t>Genesis, Historicity and Persistence of Dalit Protest Literature and Movements in Odisha</t>
  </si>
  <si>
    <t>2455328X20987370</t>
  </si>
  <si>
    <t>10.1177/2455328X20987370</t>
  </si>
  <si>
    <t>Mondal, Arijit; Roy, Sankar Kumar; Midya, Sudipta</t>
  </si>
  <si>
    <t>Intuitionistic fuzzy sustainable multi-objective multi-item multi-choice step fixed-charge solid transportation problem</t>
  </si>
  <si>
    <t>JOURNAL OF AMBIENT INTELLIGENCE AND HUMANIZED COMPUTING</t>
  </si>
  <si>
    <t>[Mondal, Arijit; Roy, Sankar Kumar; Midya, Sudipta] Vidyasagar Univ, Dept Appl Math Oceanol &amp; Comp Programming, Midnapore 721102, W Bengal, India</t>
  </si>
  <si>
    <t>1868-5137</t>
  </si>
  <si>
    <t>1868-5145</t>
  </si>
  <si>
    <t>J AMB INTEL HUM COMP</t>
  </si>
  <si>
    <t>J. Ambient Intell. Humaniz. Comput.</t>
  </si>
  <si>
    <t>2021 NOV 16</t>
  </si>
  <si>
    <t>10.1007/s12652-021-03554-6</t>
  </si>
  <si>
    <t>Computer Science, Artificial Intelligence; Computer Science, Information Systems; Telecommunications</t>
  </si>
  <si>
    <t>Computer Science; Telecommunications</t>
  </si>
  <si>
    <t>Soil erosion susceptibility assessment using logistic regression, decision tree and random forest: study on the Mayurakshi river basin of Eastern India</t>
  </si>
  <si>
    <t>ENVIRONMENTAL EARTH SCIENCES</t>
  </si>
  <si>
    <t>1866-6280</t>
  </si>
  <si>
    <t>1866-6299</t>
  </si>
  <si>
    <t>ENVIRON EARTH SCI</t>
  </si>
  <si>
    <t>Environ. Earth Sci.</t>
  </si>
  <si>
    <t>10.1007/s12665-021-09631-5</t>
  </si>
  <si>
    <t>Dutta, Shrabanti; Ghosh, Subrata; Dinda, Santanu</t>
  </si>
  <si>
    <t>Urban Air-Quality Assessment and Inferring the Association Between Different Factors: A Comparative Study Among Delhi, Kolkata and Chennai Megacity of India</t>
  </si>
  <si>
    <t>AEROSOL SCIENCE AND ENGINEERING</t>
  </si>
  <si>
    <t>[Dutta, Shrabanti; Ghosh, Subrata; Dinda, Santanu] Vidyasagar Univ, Dept Geog, Midnapore 721102, W Bengal, India</t>
  </si>
  <si>
    <t>2510-375X</t>
  </si>
  <si>
    <t>2510-3768</t>
  </si>
  <si>
    <t>AEROSOL SCI ENG</t>
  </si>
  <si>
    <t>Aerosol Sci. Eng.</t>
  </si>
  <si>
    <t>10.1007/s41810-020-00087-x</t>
  </si>
  <si>
    <t>Extended bipolar fuzzy EDAS approach for multi-criteria group decision-making process</t>
  </si>
  <si>
    <t>10.1007/s40314-020-01403-4</t>
  </si>
  <si>
    <t>Maity, Biswajit; Mallick, Suraj Kumar; Rudra, Somnath</t>
  </si>
  <si>
    <t>Integration of urban expansion with hybrid road transport network development within Haldia Municipality, West Bengal</t>
  </si>
  <si>
    <t>EGYPTIAN JOURNAL OF REMOTE SENSING AND SPACE SCIENCES</t>
  </si>
  <si>
    <t>[Maity, Biswajit; Mallick, Suraj Kumar; Rudra, Somnath] Vidyasagar Univ, Dept Geog, Midnapore 721102, W Bengal, India</t>
  </si>
  <si>
    <t>1110-9823</t>
  </si>
  <si>
    <t>2090-2476</t>
  </si>
  <si>
    <t>EGYPT J REMOTE SENS</t>
  </si>
  <si>
    <t>Egypt. J. Remote Sens. Space Sci.</t>
  </si>
  <si>
    <t>10.1016/j.ejrs.2020.10.005</t>
  </si>
  <si>
    <t>Prediction-Adaptation-Resilience (PAR) approach - A new pathway towards future resilience and sustainable development of urban landscape</t>
  </si>
  <si>
    <t>GEOGRAPHY AND SUSTAINABILITY</t>
  </si>
  <si>
    <t>[Mallick, Suraj Kumar] Vidyasagar Univ, Dept Geog, Midnapore 721102, W Bengal, India</t>
  </si>
  <si>
    <t>Mallick, SK (corresponding author), Vidyasagar Univ, Dept Geog, Midnapore 721102, W Bengal, India.</t>
  </si>
  <si>
    <t>2096-7438</t>
  </si>
  <si>
    <t>2666-6839</t>
  </si>
  <si>
    <t>GEOGR SUSTAIN</t>
  </si>
  <si>
    <t>Geogr. Sustain.</t>
  </si>
  <si>
    <t>10.1016/j.geosus.2021.06.002</t>
  </si>
  <si>
    <t>Green &amp; Sustainable Science &amp; Technology; Geography, Physical</t>
  </si>
  <si>
    <t>Science &amp; Technology - Other Topics; Physical Geography</t>
  </si>
  <si>
    <t>An assessment of coastal vulnerability using geospatial techniques</t>
  </si>
  <si>
    <t>[Bera, Rakesh; Maiti, Ramkrishna] Vidyasagar Univ, Dept Geog &amp; Environm Management, Midnapore 721102, W Bengal, India</t>
  </si>
  <si>
    <t>Bera, R (corresponding author), Vidyasagar Univ, Dept Geog &amp; Environm Management, Midnapore 721102, W Bengal, India.</t>
  </si>
  <si>
    <t>10.1007/s12665-021-09616-4</t>
  </si>
  <si>
    <t>Ghosh, Kausik</t>
  </si>
  <si>
    <t>A framework to assess the benefits and challenges of ecosystem services of a reservoir-based wetland in the Himalayan foothills</t>
  </si>
  <si>
    <t>ENVIRONMENTAL DEVELOPMENT</t>
  </si>
  <si>
    <t>[Ghosh, Kausik] Vidyasagar Univ, Dept Geog, Midnapore, W Bengal, India</t>
  </si>
  <si>
    <t>Ghosh, K (corresponding author), Vidyasagar Univ, Dept Geog, Midnapore, W Bengal, India.</t>
  </si>
  <si>
    <t>2211-4645</t>
  </si>
  <si>
    <t>2211-4653</t>
  </si>
  <si>
    <t>ENVIRON DEV</t>
  </si>
  <si>
    <t>Environ. Dev.</t>
  </si>
  <si>
    <t>10.1016/j.envdev.2021.100669</t>
  </si>
  <si>
    <t>Ganguly, Ram K.; Chakraborty, Susanta K.</t>
  </si>
  <si>
    <t>Succession of enzymes and microbial biomarkers in the process of vermicomposting: An insight towards valorization of toxic paper mill wastes using Perionyx excavates (Oligochaeta; Perrier, 1872)</t>
  </si>
  <si>
    <t>JOURNAL OF ENVIRONMENTAL HEALTH SCIENCE AND ENGINEERING</t>
  </si>
  <si>
    <t>[Ganguly, Ram K.; Chakraborty, Susanta K.] Vidyasagar Univ, Dept Zool, Midnapore 721102, W Bengal, India</t>
  </si>
  <si>
    <t>2052-336X</t>
  </si>
  <si>
    <t>J ENVIRON HEALTH SCI</t>
  </si>
  <si>
    <t>J. Environ. Health Sci. Eng</t>
  </si>
  <si>
    <t>10.1007/s40201-021-00701-1</t>
  </si>
  <si>
    <t>Engineering, Environmental; Environmental Sciences</t>
  </si>
  <si>
    <t>Engineering; Environmental Sciences &amp; Ecology</t>
  </si>
  <si>
    <t>Two-person game with hesitant fuzzy payoff: An application in MADM</t>
  </si>
  <si>
    <t>1290-3868</t>
  </si>
  <si>
    <t>10.1051/ro/2021149</t>
  </si>
  <si>
    <t>Shit, Chittaranjan; Ghorai, Ganesh</t>
  </si>
  <si>
    <t>Multiple attribute decision-making based on different types of Dombi aggregation operators under Fermatean fuzzy information</t>
  </si>
  <si>
    <t>[Shit, Chittaranjan; Ghorai, Ganesh] Vidyasagar Univ, Dept Appl Math Oceanol &amp; Comp Programming, Midnapore 721102, India</t>
  </si>
  <si>
    <t>10.1007/s00500-021-06252-9</t>
  </si>
  <si>
    <t>Nandi, Utpal</t>
  </si>
  <si>
    <t>Fractal image compression using a fast affine transform and hierarchical classification scheme</t>
  </si>
  <si>
    <t>[Nandi, Utpal] Vidyasagar Univ, Dept Comp Sci, Midnapore 721102, W Bengal, India</t>
  </si>
  <si>
    <t>Nandi, U (corresponding author), Vidyasagar Univ, Dept Comp Sci, Midnapore 721102, W Bengal, India.</t>
  </si>
  <si>
    <t>10.1007/s00371-021-02226-y</t>
  </si>
  <si>
    <t>Work performance dependent screening process under preservation technology in an imperfect production system</t>
  </si>
  <si>
    <t>JOURNAL OF INDUSTRIAL AND PRODUCTION ENGINEERING</t>
  </si>
  <si>
    <t>[Dolai, Madhusudan; Mondal, Shyamal Kumar] Vidyasagar Univ, Dept Appl Math Oceanol &amp; Comp Programming, Midnapore, W Bengal, India</t>
  </si>
  <si>
    <t>Dolai, M (corresponding author), Vidyasagar Univ, Dept Appl Math Oceanol &amp; Comp Programming, Midnapore, W Bengal, India.</t>
  </si>
  <si>
    <t>2168-1015</t>
  </si>
  <si>
    <t>2168-1023</t>
  </si>
  <si>
    <t>J IND PROD ENG</t>
  </si>
  <si>
    <t>J. IND. PROD. ENG.</t>
  </si>
  <si>
    <t>10.1080/21681015.2021.1925757</t>
  </si>
  <si>
    <t>Engineering, Industrial</t>
  </si>
  <si>
    <t>Biswas, Priyanka; Das, Kousik; Das Chatterjee, Nilanjana</t>
  </si>
  <si>
    <t>Analysis of eve-teasing potential zones using geospatial technologies and AHP: a study in Midnapore town, West Bengal, India</t>
  </si>
  <si>
    <t>[Biswas, Priyanka; Das, Kousik; Das Chatterjee, Nilanjana] Vidyasagar Univ, Dept Geog &amp; Environm Management, Midnapore 721102, W Bengal, India</t>
  </si>
  <si>
    <t>Biswas, P (corresponding author), Vidyasagar Univ, Dept Geog &amp; Environm Management, Midnapore 721102, W Bengal, India.</t>
  </si>
  <si>
    <t>10.1007/s10708-019-10106-1</t>
  </si>
  <si>
    <t>Development of new Ecological Susceptibility Index (ESI) for monitoring ecological risk of river corridor using F-AHP and AHP and its application on the Mayurakshi river of Eastern India</t>
  </si>
  <si>
    <t>ECOLOGICAL INFORMATICS</t>
  </si>
  <si>
    <t>1574-9541</t>
  </si>
  <si>
    <t>1878-0512</t>
  </si>
  <si>
    <t>ECOL INFORM</t>
  </si>
  <si>
    <t>Ecol. Inform.</t>
  </si>
  <si>
    <t>10.1016/j.ecoinf.2021.101318</t>
  </si>
  <si>
    <t>New concepts of inverse fuzzy mixed graphs and its application</t>
  </si>
  <si>
    <t>[Poulik, Soumitra; Ghorai, Ganesh] Vidyasagar Univ, Dept Appl Math, Oceanol &amp; Comp Programming, Midnapore 721102, India</t>
  </si>
  <si>
    <t>Ghorai, G (corresponding author), Vidyasagar Univ, Dept Appl Math, Oceanol &amp; Comp Programming, Midnapore 721102, India.</t>
  </si>
  <si>
    <t>10.1007/s41066-021-00284-0</t>
  </si>
  <si>
    <t>Fuzzy-rough multi-objective product blending fixed-charge transportation problem with truck load constraints through transfer station</t>
  </si>
  <si>
    <t>S2923</t>
  </si>
  <si>
    <t>S2952</t>
  </si>
  <si>
    <t>10.1051/ro/2020129</t>
  </si>
  <si>
    <t>An investigation on m-polar fuzzy threshold graph and its application on resource power controlling system</t>
  </si>
  <si>
    <t>10.1007/s12652-021-02914-6</t>
  </si>
  <si>
    <t>Jana, Chiranjibe</t>
  </si>
  <si>
    <t>Multiple attribute group decision-making method based on extended bipolar fuzzy MABAC approach</t>
  </si>
  <si>
    <t>[Jana, Chiranjibe] Vidyasagar Univ, Dept Appl Math Oceanol &amp; Comp Programming, Midnapore 721102, India</t>
  </si>
  <si>
    <t>10.1007/s40314-021-01606-3</t>
  </si>
  <si>
    <t>Intuitionistic interval-valued hesitant fuzzy matrix games with a new aggregation operator for solving management problem</t>
  </si>
  <si>
    <t>10.1007/s41066-019-00191-5</t>
  </si>
  <si>
    <t>A dynamical hybrid method to design decision making process based on GRA approach for multiple attributes problem</t>
  </si>
  <si>
    <t>10.1016/j.engappai.2021.104203</t>
  </si>
  <si>
    <t>Conservation of resources by religious and social prohibitions by Santal communities in South West Bengal, India</t>
  </si>
  <si>
    <t>[Sen, Uday Kumar; Bhakat, Ram Kumar] Vidyasagar Univ, Dept Bot &amp; Forestry, Ecol &amp; Taxon Lab, Midnapore 721102, W Bengal, India</t>
  </si>
  <si>
    <t>Sen, UK (corresponding author), Vidyasagar Univ, Dept Bot &amp; Forestry, Ecol &amp; Taxon Lab, Midnapore 721102, W Bengal, India.</t>
  </si>
  <si>
    <t>10.1080/1751696X.2021.1865641</t>
  </si>
  <si>
    <t>Rana, Chandan; Saha, Satyajit</t>
  </si>
  <si>
    <t>Fabrication and characterization of natural dye-sensitized solar cells based on tin sulfide nanoparticles</t>
  </si>
  <si>
    <t>EMERGENT MATERIALS</t>
  </si>
  <si>
    <t>[Rana, Chandan; Saha, Satyajit] Vidyasagar Univ, Dept Phys, Paschim Medinipur 721102, India</t>
  </si>
  <si>
    <t>Rana, C (corresponding author), Vidyasagar Univ, Dept Phys, Paschim Medinipur 721102, India.</t>
  </si>
  <si>
    <t>2522-5731</t>
  </si>
  <si>
    <t>2522-574X</t>
  </si>
  <si>
    <t>EMERGENT MATER</t>
  </si>
  <si>
    <t>Emerg. Mater.</t>
  </si>
  <si>
    <t>10.1007/s42247-021-00245-y</t>
  </si>
  <si>
    <t>Rana, Chandan; Bera, Swades Ranjan; Saha, Satyajit</t>
  </si>
  <si>
    <t>Comparison of I-V Characteristics of the Fabricated SnS/Si and SnS:Ag/Si Heterojunction Solar Cell Under Dark and Illumination</t>
  </si>
  <si>
    <t>JOURNAL OF ELECTRONIC MATERIALS</t>
  </si>
  <si>
    <t>[Rana, Chandan; Bera, Swades Ranjan; Saha, Satyajit] Vidyasagar Univ, Dept Phys, Paschim Medinipur 721102, India</t>
  </si>
  <si>
    <t>0361-5235</t>
  </si>
  <si>
    <t>1543-186X</t>
  </si>
  <si>
    <t>J ELECTRON MATER</t>
  </si>
  <si>
    <t>J. Electron. Mater.</t>
  </si>
  <si>
    <t>10.1007/s11664-020-08621-w</t>
  </si>
  <si>
    <t>Engineering, Electrical &amp; Electronic; Materials Science, Multidisciplinary; Physics, Applied</t>
  </si>
  <si>
    <t>Kamila, Amrit; Paul, Ashis Kumar; Bandyopadhyay, Jatisankar</t>
  </si>
  <si>
    <t>Exploration of chronological development of coastal landscape: A review on geological and geomorphological history of Subarnarekha chenier delta region, West Bengal, India</t>
  </si>
  <si>
    <t>[Kamila, Amrit; Bandyopadhyay, Jatisankar] Vidyasagar Univ, Dept Remote Sensing &amp; GIS, Midnapore 721102, India; [Paul, Ashis Kumar] Vidyasagar Univ, Dept Geog &amp; Environm Management, Midnapore 721102, India</t>
  </si>
  <si>
    <t>Kamila, A (corresponding author), Vidyasagar Univ, Dept Remote Sensing &amp; GIS, Midnapore 721102, India.</t>
  </si>
  <si>
    <t>10.1016/j.rsma.2021.101726</t>
  </si>
  <si>
    <t>Development of new composite index on channel sensitivity using AHP, FR and ensemble model and its application on the Mayurakshi river of Eastern India</t>
  </si>
  <si>
    <t>[Ghosh, Abhishek; Maiti, Ramkrishna] Vidyasagar Univ, Dept Geog, Midnapore, India</t>
  </si>
  <si>
    <t>Ghosh, A (corresponding author), Vidyasagar Univ, Dept Geog, Midnapore, India.</t>
  </si>
  <si>
    <t>10.1080/15715124.2021.1879092</t>
  </si>
  <si>
    <t>Species diversity, biological spectrum and phenological behavior of vegetation of a Muslim sacred grove in Southwest Bengal, India</t>
  </si>
  <si>
    <t>NUSANTARA BIOSCIENCE</t>
  </si>
  <si>
    <t>[Sen, Uday Kumar; Bhakat, Ram Kumar] Vidyasagar Univ, Dept Bot &amp; Forestry, Ecol &amp; Taxon Lab, Vidyasagar Univ Rd, Midnapore 721102, W Bengal, India</t>
  </si>
  <si>
    <t>Sen, UK (corresponding author), Vidyasagar Univ, Dept Bot &amp; Forestry, Ecol &amp; Taxon Lab, Vidyasagar Univ Rd, Midnapore 721102, W Bengal, India.</t>
  </si>
  <si>
    <t>Masters Program in Public Health, UNIV SEBELAS MARET</t>
  </si>
  <si>
    <t>SURAKARTA</t>
  </si>
  <si>
    <t>IR SUTAMI 36 A, SURAKARTA, 57126, INDONESIA</t>
  </si>
  <si>
    <t>2087-3948</t>
  </si>
  <si>
    <t>2087-3956</t>
  </si>
  <si>
    <t>NUSANT BIOSCI</t>
  </si>
  <si>
    <t>Nusant. Biosci.</t>
  </si>
  <si>
    <t>10.13057/nusbiosci/n130212</t>
  </si>
  <si>
    <t>Mardanya, Dharmadas; Maity, Gurupada; Roy, Sankar Kumar</t>
  </si>
  <si>
    <t>The multi-objective multi-item just-in-time transportation problem</t>
  </si>
  <si>
    <t>OPTIMIZATION</t>
  </si>
  <si>
    <t>[Mardanya, Dharmadas; Maity, Gurupada; Roy, Sankar Kumar] Vidyasagar Univ, Dept Appl Math Oceanol &amp; Comp Programming, Midnapore, W Bengal, India</t>
  </si>
  <si>
    <t>Roy, SK (corresponding author), Vidyasagar Univ, Dept Appl Math Oceanol &amp; Comp Programming, Midnapore, W Bengal, India.</t>
  </si>
  <si>
    <t>0233-1934</t>
  </si>
  <si>
    <t>1029-4945</t>
  </si>
  <si>
    <t>Optimization</t>
  </si>
  <si>
    <t>10.1080/02331934.2021.1963246</t>
  </si>
  <si>
    <t>Operations Research &amp; Management Science; Mathematics, Applied</t>
  </si>
  <si>
    <t>Operations Research &amp; Management Science; Mathematics</t>
  </si>
  <si>
    <t>Bera, Suman; Maiti, Ramkrishna</t>
  </si>
  <si>
    <t>Assessment of Water Availability with SWAT Model: A Study on Ganga River</t>
  </si>
  <si>
    <t>[Bera, Suman; Maiti, Ramkrishna] Vidyasagar Univ, Dept Geog &amp; Environm Management, Midnapore 721102, Paschim Medinip, India</t>
  </si>
  <si>
    <t>Bera, S (corresponding author), Vidyasagar Univ, Dept Geog &amp; Environm Management, Midnapore 721102, Paschim Medinip, India.</t>
  </si>
  <si>
    <t>10.1007/s12594-021-1760-9</t>
  </si>
  <si>
    <t>Multi hazards risk assessment of Indian Sundarbans using GIS based Analytic Hierarchy Process (AHP)</t>
  </si>
  <si>
    <t>10.1016/j.rsma.2021.101766</t>
  </si>
  <si>
    <t>Mandal, Mrinmay; Das Chatterjee, Nilanjana</t>
  </si>
  <si>
    <t>Forest landscape and its ecological quality: A stepwise spatiotemporal evaluation through patch-matrix model in Jhargram District, West Bengal State, India</t>
  </si>
  <si>
    <t>[Mandal, Mrinmay; Das Chatterjee, Nilanjana] Vidyasagar Univ, Dept Geog, Midnapore 721102, W Bengal, India</t>
  </si>
  <si>
    <t>Mandal, M (corresponding author), Vidyasagar Univ, Dept Geog, Midnapore 721102, W Bengal, India.</t>
  </si>
  <si>
    <t>10.1016/j.regsus.2021.06.002</t>
  </si>
  <si>
    <t>Pal, Kalyanbrata; Rakshit, Subham; Mondal, Keshab Chandra; Halder, Suman Kumar</t>
  </si>
  <si>
    <t>Microbial decomposition of crustacean shell for production of bioactive metabolites and study of its fertilizing potential</t>
  </si>
  <si>
    <t>[Pal, Kalyanbrata; Rakshit, Subham; Mondal, Keshab Chandra; Halder, Suman Kumar] Vidyasagar Univ, Dept Microbiol, Midnapore 721102, W Bengal, India</t>
  </si>
  <si>
    <t>10.1007/s11356-021-13109-z</t>
  </si>
  <si>
    <t>Modelling the future vulnerability of urban green space for priority-based management and green prosperity strategy planning in Kolkata, India: a PSR-based analysis using AHP-FCE and ANN-Markov model</t>
  </si>
  <si>
    <t>[Dinda, Santanu; Das Chatterjee, Nilanjana; Ghosh, Subrata] Vidyasagar Univ, Dept Geog, Midnapore, W Bengal, India</t>
  </si>
  <si>
    <t>Dinda, S (corresponding author), Vidyasagar Univ, Dept Geog, Midnapore, W Bengal, India.</t>
  </si>
  <si>
    <t>10.1080/10106049.2021.1952315</t>
  </si>
  <si>
    <t>Paul, Tapas Kumar; Roy, Suvajit; Pal, Radha Raman</t>
  </si>
  <si>
    <t>Tunable Lossy and Lossless Grounded Inductors Using Minimum Active and Passive Components</t>
  </si>
  <si>
    <t>INTERNATIONAL JOURNAL OF ENGINEERING AND TECHNOLOGY INNOVATION</t>
  </si>
  <si>
    <t>[Paul, Tapas Kumar; Roy, Suvajit; Pal, Radha Raman] Vidyasagar Univ, Dept Phys, Midnapore, India</t>
  </si>
  <si>
    <t>Pal, RR (corresponding author), Vidyasagar Univ, Dept Phys, Midnapore, India.</t>
  </si>
  <si>
    <t>TAIWAN ASSOC ENGINEERING &amp; TECHNOLOGY INNOVATION</t>
  </si>
  <si>
    <t>HUWEI TOWNSHIP</t>
  </si>
  <si>
    <t>NO 62, LN 375, SEC 2, LINSEN RD, HUWEI TOWNSHIP, YUNLIN 632, TAIWAN</t>
  </si>
  <si>
    <t>2223-5329</t>
  </si>
  <si>
    <t>2226-809X</t>
  </si>
  <si>
    <t>INT J ENG TECHNOL IN</t>
  </si>
  <si>
    <t>Int. J. Eng. Technol. Innov.</t>
  </si>
  <si>
    <t>10.46604/ijeti.2021.7354</t>
  </si>
  <si>
    <t>Al Mamon, Abdulla</t>
  </si>
  <si>
    <t>Constraints on kinematic model from Pantheon SNIa, OHD and CMB shift parameter measurements</t>
  </si>
  <si>
    <t>MODERN PHYSICS LETTERS A</t>
  </si>
  <si>
    <t>[Al Mamon, Abdulla] Vidyasagar Univ, Dept Phys, Vivekananda Satavarshiki Mahavidyalaya, Manikpara 721513, W Bengal, India</t>
  </si>
  <si>
    <t>Al Mamon, A (corresponding author), Vidyasagar Univ, Dept Phys, Vivekananda Satavarshiki Mahavidyalaya, Manikpara 721513, W Bengal, India.</t>
  </si>
  <si>
    <t>0217-7323</t>
  </si>
  <si>
    <t>1793-6632</t>
  </si>
  <si>
    <t>MOD PHYS LETT A</t>
  </si>
  <si>
    <t>Mod. Phys. Lett. A</t>
  </si>
  <si>
    <t>10.1142/S0217732321500498</t>
  </si>
  <si>
    <t>Astronomy &amp; Astrophysics; Physics, Nuclear; Physics, Particles &amp; Fields; Physics, Mathematical</t>
  </si>
  <si>
    <t>Mallick, Suraj Kumar; Rudra, Somnath</t>
  </si>
  <si>
    <t>Land use changes and its impact on biophysical environment: Study on a river bank</t>
  </si>
  <si>
    <t>[Mallick, Suraj Kumar; Rudra, Somnath] Vidyasagar Univ, Dept Geog, Midnapore 721102, India</t>
  </si>
  <si>
    <t>10.1016/j.ejrs.2021.11.002</t>
  </si>
  <si>
    <t>Applications of graph's complete degree with bipolar fuzzy information</t>
  </si>
  <si>
    <t>10.1007/s40747-021-00580-x</t>
  </si>
  <si>
    <t>Multi-objective sustainable opened- and closed-loop supply chain under mixed uncertainty during COVID-19 pandemic situation</t>
  </si>
  <si>
    <t>[Mondal, Arijit; Roy, Sankar Kumar] Vidyasagar Univ, Dept Appl Math, Oceanol &amp; Comp Programming, Midnapore 721102, W Bengal, India</t>
  </si>
  <si>
    <t>10.1016/j.cie.2021.107453</t>
  </si>
  <si>
    <t>Fuzzy intersection graph: a geometrical approach</t>
  </si>
  <si>
    <t>2021 APR 6</t>
  </si>
  <si>
    <t>10.1007/s12652-021-03192-y</t>
  </si>
  <si>
    <t>Mandal, S.; Maity, S.; Banerjee, D.</t>
  </si>
  <si>
    <t>Antioxidative Compounds from the Secreted Metabolome of Strain 'Mucor irregularis Isolate Dro2'-an Endophyte of the Carnivorous Plant Drosera burmannii</t>
  </si>
  <si>
    <t>APPLIED BIOCHEMISTRY AND MICROBIOLOGY</t>
  </si>
  <si>
    <t>[Mandal, S.; Maity, S.; Banerjee, D.] Vidyasagar Univ, Dept Bot &amp; Forestry, Microbiol &amp; Microbial Biotechnol Lab, Midnapore 721102, W Bengal, India</t>
  </si>
  <si>
    <t>0003-6838</t>
  </si>
  <si>
    <t>1608-3024</t>
  </si>
  <si>
    <t>APPL BIOCHEM MICRO+</t>
  </si>
  <si>
    <t>Appl. Biochem. Microbiol.</t>
  </si>
  <si>
    <t>S88</t>
  </si>
  <si>
    <t>S97</t>
  </si>
  <si>
    <t>10.1134/S0003683821100069</t>
  </si>
  <si>
    <t>Maity, Ratnabali; Mondal, Prabir; Giri, Mukul Kumar; Ghosh, Chaitali; Mallick, Chhanda</t>
  </si>
  <si>
    <t>Gastroprotective effect of hydromethanolic extract of Ayapana triplinervis leaves on indomethacin-induced gastric ulcer in male Wistar rats</t>
  </si>
  <si>
    <t>[Maity, Ratnabali; Mondal, Prabir; Giri, Mukul Kumar; Ghosh, Chaitali; Mallick, Chhanda] Vidyasagar Univ, Clin Nutr &amp; Dietet, Dept Biomed Lab Sci &amp; Management, Midnapore 721102, W Bengal, India</t>
  </si>
  <si>
    <t>Mallick, C (corresponding author), Vidyasagar Univ, Clin Nutr &amp; Dietet, Dept Biomed Lab Sci &amp; Management, Midnapore 721102, W Bengal, India.</t>
  </si>
  <si>
    <t>e13859</t>
  </si>
  <si>
    <t>10.1111/jfbc.13859</t>
  </si>
  <si>
    <t>Bera, Dipankar; Das Chatterjee, Nilanjana; Bera, Sudip</t>
  </si>
  <si>
    <t>Comparative performance of linear regression, polynomial regression and generalized additive model for canopy cover estimation in the dry deciduous forest of West Bengal</t>
  </si>
  <si>
    <t>[Bera, Dipankar; Das Chatterjee, Nilanjana; Bera, Sudip] Vidyasagar Univ, Dept Geog, Midnapore 721102, W Bengal, India</t>
  </si>
  <si>
    <t>10.1016/j.rsase.2021.100502</t>
  </si>
  <si>
    <t>Geospatial approach-based delineation of elephant habitat suitability zones and its consequence in Mayurjharna Elephant Reserve, India</t>
  </si>
  <si>
    <t>[Mandal, Mrinmay; Das Chatterjee, Nilanjana] Vidyasagar Univ, Dept Geog, Medinipur, W Bengal, India</t>
  </si>
  <si>
    <t>Mandal, M (corresponding author), Vidyasagar Univ, Dept Geog, Medinipur, W Bengal, India.</t>
  </si>
  <si>
    <t>10.1007/s10668-021-01412-1</t>
  </si>
  <si>
    <t>Mishra, A. K.; Saha, S.</t>
  </si>
  <si>
    <t>Fabrication and comparison of photovoltaic devices based on different shape PbS nanoparticles</t>
  </si>
  <si>
    <t>MATERIALS RESEARCH EXPRESS</t>
  </si>
  <si>
    <t>[Mishra, A. K.; Saha, S.] Vidyasagar Univ, Dept Phys, Paschim Medinipur 721102, W Bengal, India</t>
  </si>
  <si>
    <t>Mishra, AK (corresponding author), Vidyasagar Univ, Dept Phys, Paschim Medinipur 721102, W Bengal, India.</t>
  </si>
  <si>
    <t>2053-1591</t>
  </si>
  <si>
    <t>MATER RES EXPRESS</t>
  </si>
  <si>
    <t>Mater. Res. Express</t>
  </si>
  <si>
    <t>10.1088/2053-1591/abd9f9</t>
  </si>
  <si>
    <t>Das, Soumen Kumar; Roy, Sankar Kumar</t>
  </si>
  <si>
    <t>An Approximation Approach for Fixed-Charge Transportation-p-Facility Location Problem</t>
  </si>
  <si>
    <t>LOGISTICS AND SUPPLY CHAIN MANAGEMENT, LSCM 2020</t>
  </si>
  <si>
    <t>[Das, Soumen Kumar; Roy, Sankar Kumar] Vidyasagar Univ, Dept Appl Math, Oceanol &amp; Comp Programming, Midnapore 721102, W Bengal, India</t>
  </si>
  <si>
    <t>978-3-030-89743-7; 978-3-030-89742-0</t>
  </si>
  <si>
    <t>10.1007/978-3-030-89743-7_12</t>
  </si>
  <si>
    <t>Engineering, Industrial; Engineering, Civil</t>
  </si>
  <si>
    <t>Ghosh, Rituparna; Sarkhel, Sumana; Saha, Kanchan; Parua, Poulami; Chatterjee, Upasana; Mana, Koushik</t>
  </si>
  <si>
    <t>Synthesis, characterization &amp; evaluation of venom neutralization potential of silver nanoparticles mediated Alstonia scholaris Linn bark extract</t>
  </si>
  <si>
    <t>TOXICOLOGY REPORTS</t>
  </si>
  <si>
    <t>[Ghosh, Rituparna; Sarkhel, Sumana; Saha, Kanchan; Parua, Poulami] Vidyasagar Univ, Dept Human Physiol, Paschim Midnapore 721102, W Bengal, India; [Chatterjee, Upasana] Vidyasagar Univ, Dept Microbiol, Paschim Midnapore 721102, W Bengal, India; [Mana, Koushik] Vidyasagar Univ, Dept Human Physiol Community Hlth, Paschim Midnapore 721102, W Bengal, India</t>
  </si>
  <si>
    <t>Sarkhel, S (corresponding author), Vidyasagar Univ, Dept Human Physiol, Paschim Midnapore 721102, W Bengal, India.</t>
  </si>
  <si>
    <t>2214-7500</t>
  </si>
  <si>
    <t>TOXICOL REP</t>
  </si>
  <si>
    <t>Toxicol. Rep.</t>
  </si>
  <si>
    <t>10.1016/j.toxrep.2021.04.006</t>
  </si>
  <si>
    <t>Toxicology</t>
  </si>
  <si>
    <t>Ghorai, Ganesh</t>
  </si>
  <si>
    <t>Characterization of regular bipolar fuzzy graphs</t>
  </si>
  <si>
    <t>[Ghorai, Ganesh] Vidyasagar Univ, Dept Appl Math Oceanol &amp; Comp Programming, Midnapore 721102, India</t>
  </si>
  <si>
    <t>10.1007/s13370-021-00880-y</t>
  </si>
  <si>
    <t>Determination of journeys order based on graph's Wiener absolute index with bipolar fuzzy information</t>
  </si>
  <si>
    <t>10.1016/j.ins.2020.09.050</t>
  </si>
  <si>
    <t>Islam, S. K. Rabiul; Pal, Madhumangal</t>
  </si>
  <si>
    <t>Hyper-Wiener index for fuzzy graph and its application in share market</t>
  </si>
  <si>
    <t>[Islam, S. K. Rabiul; Pal, Madhumangal] Vidyasagar Univ, Dept Appl Math Oceanol &amp; Comp Programming, Midnapore 721102, India</t>
  </si>
  <si>
    <t>10.3233/JIFS-210736</t>
  </si>
  <si>
    <t>Roy, Sankar Kumar; Jana, Jishu</t>
  </si>
  <si>
    <t>The multi-objective linear production planning games in triangular hesitant fuzzy sets</t>
  </si>
  <si>
    <t>[Roy, Sankar Kumar; Jana, Jishu] Vidyasagar Univ, Dept Appl Math Oceanol &amp; Comp Programming, Midnapore 721102, India</t>
  </si>
  <si>
    <t>Roy, SK (corresponding author), Vidyasagar Univ, Dept Appl Math Oceanol &amp; Comp Programming, Midnapore 721102, India.</t>
  </si>
  <si>
    <t>10.1007/s12046-021-01683-4</t>
  </si>
  <si>
    <t>Fuzzy covering problem of fuzzy graphs and its application to investigate the Indian economy in new normal</t>
  </si>
  <si>
    <t>[Bhattacharya, Anushree; Pal, Madhumangal] Vidyasagar Univ, Oceanol &amp; Comp Programming, Dept Appl Math, Midnapore 721102, India</t>
  </si>
  <si>
    <t>Pal, M (corresponding author), Vidyasagar Univ, Oceanol &amp; Comp Programming, Dept Appl Math, Midnapore 721102, India.</t>
  </si>
  <si>
    <t>10.1007/s12190-021-01539-4</t>
  </si>
  <si>
    <t>India and the pandemic: democratic governance at crossroads</t>
  </si>
  <si>
    <t>[Ghosh, Sujay] Vidyasagar Univ, Dept Polit Sci, Midnapore 721102, India</t>
  </si>
  <si>
    <t>Ghosh, S (corresponding author), Vidyasagar Univ, Dept Polit Sci, Midnapore 721102, India.</t>
  </si>
  <si>
    <t>10.1017/S1479591421000188</t>
  </si>
  <si>
    <t>Jana, Dipankar; Sinha, Abhijit</t>
  </si>
  <si>
    <t>CAN INDIA GO CASHLESS? ASSESSING THE ROLE OF PUBLIC AND PRIVATE SECTOR BANKS IN MOBILE BANKING IN INDIA</t>
  </si>
  <si>
    <t>JIMS8M-THE JOURNAL OF INDIAN MANAGEMENT &amp; STRATEGY</t>
  </si>
  <si>
    <t>[Jana, Dipankar; Sinha, Abhijit] Vidyasagar Univ, Dept Commerce, Midnapore, W Bengal, India</t>
  </si>
  <si>
    <t>Jana, D (corresponding author), Vidyasagar Univ, Dept Commerce, Midnapore, W Bengal, India.</t>
  </si>
  <si>
    <t>JAGANNATH INT MANAGEMENT SCH</t>
  </si>
  <si>
    <t>OCF POCKET 9, SECTOR-B, VASANT KUNJ, NEW DELHI, 110 070, INDIA</t>
  </si>
  <si>
    <t>0973-9335</t>
  </si>
  <si>
    <t>0973-9343</t>
  </si>
  <si>
    <t>JIMS8M-J INDIAN MANA</t>
  </si>
  <si>
    <t>JIMS8M-J. Indian Manag. Strategy</t>
  </si>
  <si>
    <t>JAN-MAR</t>
  </si>
  <si>
    <t>10.5958/0973-9343.2021.00001.6</t>
  </si>
  <si>
    <t>Food security through targeted public distribution system: myth or reality? Insight from Barpeta district, Assam</t>
  </si>
  <si>
    <t>10.1504/IJICBM.2021.115406</t>
  </si>
  <si>
    <t>Biswas, Debasish; Dey, Chanchal</t>
  </si>
  <si>
    <t>Entrepreneurship Development in India Preface</t>
  </si>
  <si>
    <t>ENTREPRENEURSHIP DEVELOPMENT IN INDIA</t>
  </si>
  <si>
    <t>[Biswas, Debasish] Vidyasagar Univ, Dept Business Adm, Midnapore, W Bengal, India; [Dey, Chanchal] Coll Engn &amp; Management, Dept Human, Kolaghat, W Bengal, India</t>
  </si>
  <si>
    <t>Biswas, D (corresponding author), Vidyasagar Univ, Dept Business Adm, Midnapore, W Bengal, India.</t>
  </si>
  <si>
    <t>2475-6369</t>
  </si>
  <si>
    <t>2475-6377</t>
  </si>
  <si>
    <t>978-0-367-76221-6; 978-1-003-16599-6; 978-0-367-76219-3</t>
  </si>
  <si>
    <t>ROU FOC BUS MANAG</t>
  </si>
  <si>
    <t>XIX</t>
  </si>
  <si>
    <t>10.4324/9781003165996</t>
  </si>
  <si>
    <t>Area Studies; Business; Management</t>
  </si>
  <si>
    <t>Area Studies; Business &amp; Economics</t>
  </si>
  <si>
    <t>Introduction to Research</t>
  </si>
  <si>
    <t>[Biswas, Debasish] Vidyasagar Univ, Dept Business Adm, Midnapore, W Bengal, India; [Dey, Chanchal] Coll Engn &amp; Management, Dept Humanities, Kolaghat, W Bengal, India</t>
  </si>
  <si>
    <t>Das, Mitali; Pahari, Priti Ranjan; Bhattacharya, Tanmay</t>
  </si>
  <si>
    <t>A new species of palaemonid prawn Macrobrachium ramae sp.nov. (Malacostraca: Decapoda:Palaemonidae) from Rupnarayana River, West Bengal, India with its molecular profiles</t>
  </si>
  <si>
    <t>[Das, Mitali; Pahari, Priti Ranjan] Tamralipta Mahavidyalaya, Dept Zool, Purba Medinipur 721636, W Bengal, India; [Bhattacharya, Tanmay] Vidyasagar Univ, Dept Zool, Midnapore 721102, W Bengal, India</t>
  </si>
  <si>
    <t>Das, M (corresponding author), Tamralipta Mahavidyalaya, Dept Zool, Purba Medinipur 721636, W Bengal, India.</t>
  </si>
  <si>
    <t>10.11646/zootaxa.4952.3.6</t>
  </si>
  <si>
    <t>Das, Sankar; Ghorai, Ganesh; Pal, Madhumangal</t>
  </si>
  <si>
    <t>Genus of graphs under picture fuzzy environment with applications</t>
  </si>
  <si>
    <t>[Das, Sankar; Ghorai, Ganesh; Pal, Madhumangal] Vidyasagar Univ, Dept Appl Math Oceanol &amp; Comp Programming, Midnapore 721102, India; [Das, Sankar] Kharagpur Coll, Dept Math, Kharagpur 721305, W Bengal, India</t>
  </si>
  <si>
    <t>10.1007/s12652-020-02887-y</t>
  </si>
  <si>
    <t>Mudi, Naren; Hazra, Paresh; Shyamal, Milan; Maity, Samir; Giri, Prabhat Kumar; Samanta, Shashanka Shekhar; Mandal, Debkumar; Misra, Ajay</t>
  </si>
  <si>
    <t>Designed Synthesis of Fluorescence 'Turn-on' Dual Sensor for Selective Detection of Al3+ and Zn2+ in Water</t>
  </si>
  <si>
    <t>News Item</t>
  </si>
  <si>
    <t>[Mudi, Naren; Hazra, Paresh; Shyamal, Milan; Maity, Samir; Giri, Prabhat Kumar; Samanta, Shashanka Shekhar; Mandal, Debkumar; Misra, Ajay] Vidyasagar Univ, Dept Chem, Midnapore 721102, WB, India</t>
  </si>
  <si>
    <t>10.1007/s10895-020-02664-2</t>
  </si>
  <si>
    <t>Singha, Soamdeep; Jana, Biswapati; Mandal, Niranjan Kumar</t>
  </si>
  <si>
    <t>Active Queue Management in RED Considering Critical Point on Target Queue</t>
  </si>
  <si>
    <t>JOURNAL OF INTERCONNECTION NETWORKS</t>
  </si>
  <si>
    <t>[Singha, Soamdeep; Jana, Biswapati] Vidyasagar Univ, Dept Comp Sci, Paschim Medinipur 721102, W Bengal, India; [Mandal, Niranjan Kumar] Univ Engn &amp; Management Kolkata, Dept Elect Engn, Kolkata, WB, India</t>
  </si>
  <si>
    <t>Singha, S (corresponding author), Vidyasagar Univ, Dept Comp Sci, Paschim Medinipur 721102, W Bengal, India.</t>
  </si>
  <si>
    <t>0219-2659</t>
  </si>
  <si>
    <t>1793-6713</t>
  </si>
  <si>
    <t>J INTERCONNECT NETW</t>
  </si>
  <si>
    <t>J. Interconnect. Netw.</t>
  </si>
  <si>
    <t>10.1142/S0219265921500171</t>
  </si>
  <si>
    <t>Computer Science, Theory &amp; Methods</t>
  </si>
  <si>
    <t>Project and Financial Analysis</t>
  </si>
  <si>
    <t>Picture fuzzy tolerance graphs with application</t>
  </si>
  <si>
    <t>10.1007/s40747-021-00540-5</t>
  </si>
  <si>
    <t>Solving Bi-Level Multi-Objective Transportation Problem under Fuzziness</t>
  </si>
  <si>
    <t>[Mardanya, Dharmadas] Sai Sadhana Coll Basic Sci, Dept Math, Mayurbhanj 757041, Odisha, India; [Maity, Gurupada; Roy, Sankar Kumar] Vidyasagar Univ, Dept Appl Math Oceanol &amp; Comp Programming, Midnapore 721102, West Bengal, India</t>
  </si>
  <si>
    <t>10.1142/S0218488521500185</t>
  </si>
  <si>
    <t>Maji, Durbar; Ghorai, Ganesh; Gaba, Yae Ulrich</t>
  </si>
  <si>
    <t>RETRACTED: On the Reformulated Second Zagreb Index of Graph Operations (Retracted Article)</t>
  </si>
  <si>
    <t>[Maji, Durbar; Ghorai, Ganesh] Vidyasagar Univ, Dept Appl Math Oceanol &amp; Comp Programming, Midnapore 721102, India; [Gaba, Yae Ulrich] AIMS Rwanda Ctr, Quantum Leap Africa QLA, Remera Sect KN 3, Kigali, Rwanda</t>
  </si>
  <si>
    <t>Gaba, YU (corresponding author), AIMS Rwanda Ctr, Quantum Leap Africa QLA, Remera Sect KN 3, Kigali, Rwanda.</t>
  </si>
  <si>
    <t>10.1155/2021/9289534</t>
  </si>
  <si>
    <t>Choudhury, Animesh; Dutta, Dipanwita; Bera, Debarati; Kundu, Arnab</t>
  </si>
  <si>
    <t>Regional variation of drought parameters and long-term trends over India using standardized precipitation evapotranspiration index</t>
  </si>
  <si>
    <t>[Choudhury, Animesh; Dutta, Dipanwita; Bera, Debarati] Vidyasagar Univ, Dept Remote Sensing, Midnapore, W Bengal, India; [Choudhury, Animesh; Dutta, Dipanwita; Bera, Debarati] Vidyasagar Univ, GIS, Midnapore, W Bengal, India; [Kundu, Arnab] Bankura Univ, Dept Geoinformat, PRMS Mahavidyalaya, Bankura, W Bengal, India</t>
  </si>
  <si>
    <t>Dutta, D (corresponding author), Vidyasagar Univ, Dept Remote Sensing, Midnapore, W Bengal, India.;Dutta, D (corresponding author), Vidyasagar Univ, GIS, Midnapore, W Bengal, India.</t>
  </si>
  <si>
    <t>10.1016/j.jenvman.2021.113056</t>
  </si>
  <si>
    <t>Khara, Barun; Mondal, Shyamal Kumar; Dey, Jayanta Kumar</t>
  </si>
  <si>
    <t>An imperfect production inventory model with advance payment and credit period in a two-echelon supply chain management</t>
  </si>
  <si>
    <t>[Khara, Barun; Mondal, Shyamal Kumar] Vidyasagar Univ, Dept Appl Math Oceanol &amp; Comp Programming, Midnapore 721102, W Bengal, India; [Dey, Jayanta Kumar] Mahishadal Raj Coll, Purba Medinipur, W Bengal, India</t>
  </si>
  <si>
    <t>Dey, JK (corresponding author), Mahishadal Raj Coll, Purba Medinipur, W Bengal, India.</t>
  </si>
  <si>
    <t>10.1051/ro/2020137</t>
  </si>
  <si>
    <t>Green Submitted, Bronze</t>
  </si>
  <si>
    <t>Mishra, A. K.; Bhunia, A. K.; Saha, S.</t>
  </si>
  <si>
    <t>Lead sulfide quantum dot-serum albumin bioconjugate: spectroscopic, microscopic investigation and photo-conducting current analysis</t>
  </si>
  <si>
    <t>[Mishra, A. K.; Saha, S.] Vidyasagar Univ, Dept Phys, Midnapore 721102, W Bengal, India; [Bhunia, A. K.] Govt Gen Degree Coll Gopiballavpur II, Dept Phys, Beliaberah 721517, W Bengal, India</t>
  </si>
  <si>
    <t>Bhunia, AK (corresponding author), Govt Gen Degree Coll Gopiballavpur II, Dept Phys, Beliaberah 721517, W Bengal, India.</t>
  </si>
  <si>
    <t>10.1007/s00339-021-04483-z</t>
  </si>
  <si>
    <t>Large-scale group decision-making based on Pythagorean linguistic preference relations using experts clustering and consensus measure with non-cooperative behavior analysis of clusters</t>
  </si>
  <si>
    <t>10.1007/s40747-021-00369-y</t>
  </si>
  <si>
    <t>Khanra, Pikli; Bose, Kaushik; Chakraborty, Raja</t>
  </si>
  <si>
    <t>Mother's education level is associated with anthropometric failure among 3-to 12 year-old rural children in Purba Medinipur, West Bengal, India</t>
  </si>
  <si>
    <t>JOURNAL OF BIOSOCIAL SCIENCE</t>
  </si>
  <si>
    <t>[Khanra, Pikli; Bose, Kaushik] Vidyasagar Univ, Dept Anthropol, Midnapore, W Bengal, India; [Chakraborty, Raja] Dinabandhu Mahavidyalaya, Dept Anthropol, Bongaon, W Bengal, India</t>
  </si>
  <si>
    <t>Chakraborty, R (corresponding author), Dinabandhu Mahavidyalaya, Dept Anthropol, Bongaon, W Bengal, India.</t>
  </si>
  <si>
    <t>32 AVENUE OF THE AMERICAS, NEW YORK, NY 10013-2473 USA</t>
  </si>
  <si>
    <t>0021-9320</t>
  </si>
  <si>
    <t>1469-7599</t>
  </si>
  <si>
    <t>J BIOSOC SCI</t>
  </si>
  <si>
    <t>J. Biosoc. Sci.</t>
  </si>
  <si>
    <t>10.1017/S0021932020000577</t>
  </si>
  <si>
    <t>Demography; Public, Environmental &amp; Occupational Health; Social Sciences, Biomedical</t>
  </si>
  <si>
    <t>Demography; Public, Environmental &amp; Occupational Health; Biomedical Social Sciences</t>
  </si>
  <si>
    <t>Classification Entrepreneurs and Entrepreneurship</t>
  </si>
  <si>
    <t>Probe response of a two-mode cavity with χ(2) non-linearity, non-reciprocity and slow and fast light</t>
  </si>
  <si>
    <t>APPLIED PHYSICS B-LASERS AND OPTICS</t>
  </si>
  <si>
    <t>[Mukherjee, Kousik; Jana, Paresh Chandra] Vidyasagar Univ, Dept Phys, Midnapore 721102, India; [Mukherjee, Kousik] Govt Gen Degree Coll Gopiballavpur II, Dept Phys, Beliaberah 721517, India</t>
  </si>
  <si>
    <t>Mukherjee, K (corresponding author), Vidyasagar Univ, Dept Phys, Midnapore 721102, India.;Mukherjee, K (corresponding author), Govt Gen Degree Coll Gopiballavpur II, Dept Phys, Beliaberah 721517, India.</t>
  </si>
  <si>
    <t>0946-2171</t>
  </si>
  <si>
    <t>1432-0649</t>
  </si>
  <si>
    <t>APPL PHYS B-LASERS O</t>
  </si>
  <si>
    <t>Appl. Phys. B-Lasers Opt.</t>
  </si>
  <si>
    <t>10.1007/s00340-021-07704-8</t>
  </si>
  <si>
    <t>Business Plan Development</t>
  </si>
  <si>
    <t>Cases on Entrepreneurship</t>
  </si>
  <si>
    <t>Inter-dependent lead-time and ordering cost reduction strategy: a supply chain model with quality control, lead-time dependent backorder and price-sensitive stochastic demand</t>
  </si>
  <si>
    <t>[Das Roy, Monami] Vidyasagar Univ, Haldia Govt Coll, Dept Math, Purba Medinipur 721657, W Bengal, India; [Sana, Shib Sankar] Kishore Bharati Bhagini Nivedita Coll, Dept Math, Kolkata 700060, India</t>
  </si>
  <si>
    <t>Das Roy, M (corresponding author), Vidyasagar Univ, Haldia Govt Coll, Dept Math, Purba Medinipur 721657, W Bengal, India.</t>
  </si>
  <si>
    <t>10.1007/s12597-020-00499-w</t>
  </si>
  <si>
    <t>Entrepreneurial Motivation and Creativity</t>
  </si>
  <si>
    <t>Multiplicative consistency analysis of linguistic preference relation with self-confidence level and self-doubting level and its application in a group decision making</t>
  </si>
  <si>
    <t>[Mandal, Prasenjit; Pal, Madhumangal] Vidyasagar Univ, Dept Appl Math Oceanol &amp; Comp Programming, Midnapore, West Bengal, India; [Samanta, Sovan] Tamralipta Mahavidyalaya, Dept Math, Tamluk 721636, West Bengal, India</t>
  </si>
  <si>
    <t>10.1002/int.22516</t>
  </si>
  <si>
    <t>Guchhait, Siddhartha; Roy, Aparna; Das, Siddhartha; Khan, Meheboob; Pradhan, Ananya; Choudhury, Sujata Maiti; Roy, Sumita</t>
  </si>
  <si>
    <t>Tripeptide based nontoxic hydrogelators as carrier of vitamin B12 and doxorubicin</t>
  </si>
  <si>
    <t>[Guchhait, Siddhartha; Roy, Aparna; Das, Siddhartha; Khan, Meheboob; Roy, Sumita] Vidyasagar Univ, Dept Chem, Paschim Medinipur 721102, India; [Pradhan, Ananya; Choudhury, Sujata Maiti] Vidyasagar Univ, Dept Human Physiol, Paschim Medinipur 721102, India</t>
  </si>
  <si>
    <t>Roy, S (corresponding author), Vidyasagar Univ, Dept Chem, Paschim Medinipur 721102, India.</t>
  </si>
  <si>
    <t>10.1016/j.colsurfa.2021.126483</t>
  </si>
  <si>
    <t>Das, Ramesh Chandra; Ghosh, Bankim</t>
  </si>
  <si>
    <t>Long Run and Short Run Linkages Between Credit and Output: An Appraisal of the Districts of West Bengal in India</t>
  </si>
  <si>
    <t>INTERNATIONAL JOURNAL OF ASIAN BUSINESS AND INFORMATION MANAGEMENT</t>
  </si>
  <si>
    <t>[Das, Ramesh Chandra] Vidyasagar Univ, Econ, Midnapore, W Bengal, India; [Ghosh, Bankim] Katwa Coll, Econ, Katwa, WB, India</t>
  </si>
  <si>
    <t>1947-9638</t>
  </si>
  <si>
    <t>1947-9646</t>
  </si>
  <si>
    <t>INT J ASIAN BUS INF</t>
  </si>
  <si>
    <t>Int. J. Asian Bus. Inf. Manag.</t>
  </si>
  <si>
    <t>10.4018/IJABIM.20210401.oa7</t>
  </si>
  <si>
    <t>Mandal, Gopal Chandra; Bose, Kaushik</t>
  </si>
  <si>
    <t>THE USE OF THE SITTING HEIGHT INDEX OF BUILD TO DETERMINE UNDERNUTRITION AMONG RURAL BENGALEE PRESCHOOL CHILDREN OF WEST BENGAL, INDIA</t>
  </si>
  <si>
    <t>[Mandal, Gopal Chandra] Bangabasi Coll, Dept Anthropol, Kolkata, India; [Bose, Kaushik] Vidyasagar Univ, Dept Anthropol, Paschin Midnapore, WB, India</t>
  </si>
  <si>
    <t>Mandal, GC (corresponding author), Bangabasi Coll, Dept Anthropol, Kolkata, India.</t>
  </si>
  <si>
    <t>10.26720/anthro.20.10.12.1</t>
  </si>
  <si>
    <t>Legal Issues and Legislation</t>
  </si>
  <si>
    <t>Recent scientific research progress and challenges of COVID-19 pandemic: a global public health event</t>
  </si>
  <si>
    <t>PROCEEDINGS OF THE INDIAN NATIONAL SCIENCE ACADEMY</t>
  </si>
  <si>
    <t>INDIAN NAT SCI ACAD</t>
  </si>
  <si>
    <t>BAHADUR SHAH ZAFAR MARG, NEW DELHI 110002, INDIA</t>
  </si>
  <si>
    <t>0370-0046</t>
  </si>
  <si>
    <t>2454-9983</t>
  </si>
  <si>
    <t>P INDIAN NATL SCI AC</t>
  </si>
  <si>
    <t>Proc. Indian Natl. Sci. Acad.</t>
  </si>
  <si>
    <t>10.1007/s43538-021-00058-x</t>
  </si>
  <si>
    <t>Roy, Suvajit; Paul, Tapas Kumar; Maiti, Saikat; Pal, Radha Raman</t>
  </si>
  <si>
    <t>Voltage Differencing Current Conveyor Based Voltage-Mode and Current-Mode Universal Biquad Filters with Electronic Tuning Facility</t>
  </si>
  <si>
    <t>[Roy, Suvajit; Paul, Tapas Kumar; Pal, Radha Raman] Vidyasagar Univ, Dept Phys, Midnapore, W Bengal, India; [Maiti, Saikat] Mundamari Ushananda Vidyapith HS, Dept Phys Sci, Banga Chak, W Bengal, India</t>
  </si>
  <si>
    <t>Pal, RR (corresponding author), Vidyasagar Univ, Dept Phys, Midnapore, W Bengal, India.</t>
  </si>
  <si>
    <t>10.46604/ijeti.2021.6821</t>
  </si>
  <si>
    <t>Panja, Saikat Kumar; Patra, Soumen; Bag, Braja Gopal</t>
  </si>
  <si>
    <t>Self-assembly of the monohydroxy triterpenoid lupeol yielding nano-fibers, sheets and gel: environmental and drug delivery applications</t>
  </si>
  <si>
    <t>[Panja, Saikat Kumar; Patra, Soumen; Bag, Braja Gopal] Vidyasagar Univ, Dept Chem &amp; Chem Technol, Midnapore 721102, W Bengal, India</t>
  </si>
  <si>
    <t>Bag, BG (corresponding author), Vidyasagar Univ, Dept Chem &amp; Chem Technol, Midnapore 721102, W Bengal, India.</t>
  </si>
  <si>
    <t>10.1039/d1ra06137b</t>
  </si>
  <si>
    <t>Mondal, Subhadeep; Santra, Sourav; Rakshit, Subham; Halder, Suman Kumar; Hossain, Maidul; Mondal, Keshab Chandra</t>
  </si>
  <si>
    <t>Saccharification of lignocellulosic biomass using an enzymatic cocktail of fungal origin and successive production of butanol by Clostridium acetobutylicum</t>
  </si>
  <si>
    <t>[Mondal, Subhadeep] Vidyasagar Univ, Ctr Life Sci, Midnapore 721102, W Bengal, India; [Santra, Sourav; Rakshit, Subham; Halder, Suman Kumar; Mondal, Keshab Chandra] Vidyasagar Univ, Dept Microbiol, Midnapore 721102, W Bengal, India; [Hossain, Maidul] Vidyasagar Univ, Dept Chem, Midnapore 721102, W Bengal, India</t>
  </si>
  <si>
    <t>10.1016/j.biortech.2021.126093</t>
  </si>
  <si>
    <t>Amanathulla, S. K.; Pal, Madhumangal</t>
  </si>
  <si>
    <t>L(3,2,1)-Labeling problems on trapezoid graphs</t>
  </si>
  <si>
    <t>DISCRETE MATHEMATICS ALGORITHMS AND APPLICATIONS</t>
  </si>
  <si>
    <t>[Amanathulla, S. K.] Raghunathpur Coll, Dept Math, Raghunathpur 723101, W Bengal, India; [Pal, Madhumangal] Vidyasagar Univ, Dept Appl Math Oceanol &amp; Comp Programming, Midnapore 721102, W Bengal, India</t>
  </si>
  <si>
    <t>Amanathulla, SK (corresponding author), Raghunathpur Coll, Dept Math, Raghunathpur 723101, W Bengal, India.</t>
  </si>
  <si>
    <t>1793-8309</t>
  </si>
  <si>
    <t>1793-8317</t>
  </si>
  <si>
    <t>DISCRET MATH ALGORIT</t>
  </si>
  <si>
    <t>Discret. Math. Algorithms Appl.</t>
  </si>
  <si>
    <t>10.1142/S1793830921500683</t>
  </si>
  <si>
    <t>Multi-echelon green supply chain model with random defectives, remanufacturing and rework under setup cost reduction and variable transportation cost</t>
  </si>
  <si>
    <t>[Das Roy, Monami] Vidyasagar Univ, Haldia Govt Coll, Dept Math, Purba Medinipur 721657, W Bengal, India; [Sana, Shib Sankar] Kishore Bharati Bhagini Nivedita Coll, Kolkata 700060, W Bengal, India</t>
  </si>
  <si>
    <t>10.1007/s12046-021-01716-y</t>
  </si>
  <si>
    <t>Multidimensional poverty in India: a study on regional disparities</t>
  </si>
  <si>
    <t>[Das, Pinaki; Paria, Bibek] Vidyasagar Univ, Dept Econ, Midnapore 721102, W Bengal, India; [Ghosh, Sudeshna] Scottish Church Coll, Dept Econ, 1 &amp; 3 Urquhart Sq, Kolkata 7000006, W Bengal, India</t>
  </si>
  <si>
    <t>Ghosh, S (corresponding author), Scottish Church Coll, Dept Econ, 1 &amp; 3 Urquhart Sq, Kolkata 7000006, W Bengal, India.</t>
  </si>
  <si>
    <t>10.1007/s10708-021-10483-6</t>
  </si>
  <si>
    <t>Pakhira, Nilesh; Maiti, Manas Kumar; Maiti, Manoranjan</t>
  </si>
  <si>
    <t>A two-warehouse multi-item supply chain with stock dependent promotional demand under joint replenishment policy: a mixed-mode ABC approach</t>
  </si>
  <si>
    <t>[Pakhira, Nilesh; Maiti, Manoranjan] Vidyasagar Univ, Dept Appl Math Oceanol &amp; Comp Programming, Paschim Medinipur 721102, W Bengal, India; [Maiti, Manas Kumar] Mahishadal Raj Coll, Dept Math, Purba Medinipur, W Bengal, India</t>
  </si>
  <si>
    <t>Pakhira, N (corresponding author), Vidyasagar Univ, Dept Appl Math Oceanol &amp; Comp Programming, Paschim Medinipur 721102, W Bengal, India.</t>
  </si>
  <si>
    <t>10.1080/23302674.2020.1753127</t>
  </si>
  <si>
    <t>Production rate and lot-size dependent lead time reduction strategies in a supply chain model with stochastic demand, controllable setup cost and trade-credit financing</t>
  </si>
  <si>
    <t>[Das Roy, Monami] Vidyasagar Univ, Haldia Govt Coll, Dept Math, Purba Medinipur 721657, W Bengal, India; [Sana, Shib Sankar] Kishore Bharati Bhagini Nivedita Coll, Kolkata 700060, India</t>
  </si>
  <si>
    <t>Sana, SS (corresponding author), Kishore Bharati Bhagini Nivedita Coll, Kolkata 700060, India.</t>
  </si>
  <si>
    <t>S1469</t>
  </si>
  <si>
    <t>S1485</t>
  </si>
  <si>
    <t>10.1051/ro/2020112</t>
  </si>
  <si>
    <t>Bronze, Green Submitted</t>
  </si>
  <si>
    <t>Patra, Napur; Mondal, Sanjib; Pal, Madhumangal; Mondal, Sukumar</t>
  </si>
  <si>
    <t>Energy of interval-valued fuzzy graphs and its application in ecological systems</t>
  </si>
  <si>
    <t>[Mondal, Sanjib; Pal, Madhumangal] Vidyasagar Univ, Dept Appl Math Oceanol &amp; Comp Programming, Midnapore 721102, India; [Patra, Napur; Mondal, Sukumar] Raja NL Khan Womens Coll, Dept Math, Gope Pl, Midnapore 721102, India</t>
  </si>
  <si>
    <t>10.1007/s12190-021-01665-z</t>
  </si>
  <si>
    <t>Bhunia, Supriya; Ghorai, Ganesh; Xin, Qin</t>
  </si>
  <si>
    <t>On the fuzzification of Lagrange's theorem in (α, β)-Pythagorean fuzzy environment</t>
  </si>
  <si>
    <t>[Bhunia, Supriya; Ghorai, Ganesh] Vidyasagar Univ, Dept Appl Math Oceanol &amp; Comp Programming, Midnapore 721102, India; [Xin, Qin] Univ Faroe Isl, Fac Sci &amp; Technol, Vestarabryggja 15, FO-100 Torshavn, Faroe Islands</t>
  </si>
  <si>
    <t>10.3934/math.2021540</t>
  </si>
  <si>
    <t>Bisui, Sourabh; Layek, Ujjwal; Karmakar, Prakash</t>
  </si>
  <si>
    <t>Determination of Nectar Resources through Body Surface Pollen Analysis: A Study with the Stingless Bee Tetragonula iridipennis Smith (Apidae: Meliponini) in West Bengal, India</t>
  </si>
  <si>
    <t>SOCIOBIOLOGY</t>
  </si>
  <si>
    <t>[Bisui, Sourabh; Karmakar, Prakash] Vidyasagar Univ, Dept Bot &amp; Forestry, Midnapore 721102, India; [Layek, Ujjwal] Rampurhat Coll, Dept Bot, Birbhum 731224, India</t>
  </si>
  <si>
    <t>UNIV ESTADUAL FEIRA SANTANA</t>
  </si>
  <si>
    <t>FEIRA DE SANTANA</t>
  </si>
  <si>
    <t>AV TRANSORDESTINA S N NOVO HORIZONTE, FEIRA DE SANTANA, BAHAI CEP44036-900, BRAZIL</t>
  </si>
  <si>
    <t>0361-6525</t>
  </si>
  <si>
    <t>Sociobiology</t>
  </si>
  <si>
    <t>e6173</t>
  </si>
  <si>
    <t>10.13102/sociobiology.v68i3.6173</t>
  </si>
  <si>
    <t>Bhunia, Amit Kumar; Saha, Satyajit</t>
  </si>
  <si>
    <t>Characterization of burbling twigs of flower-type zinc oxide nanocrystals for the fabrication and study of nano-ZnO/p-Si heterojunction UV light photodiode</t>
  </si>
  <si>
    <t>[Bhunia, Amit Kumar] Govt Gen Degree Coll Gopiballavpur II, Dept Phys, Jhargram 721517, W Bengal, India; [Saha, Satyajit] Vidyasagar Univ, Dept Phys, Midnapore 721102, W Bengal, India</t>
  </si>
  <si>
    <t>10.1007/s10854-021-05649-4</t>
  </si>
  <si>
    <t>On the characterization of Pythagorean fuzzy subgroups</t>
  </si>
  <si>
    <t>[Bhunia, Supriya; Ghorai, Ganesh] Vidyasagar Univ, Dept Appl Math Oceanol &amp; Comp Programming, Midnapore 721102, India; [Xin, Qin] Univ Faroe Isl, Fac Sci &amp; Technol, Vestarabryggja 15,FO 100, Torshavn, Faroe Islands</t>
  </si>
  <si>
    <t>10.3934/math.2021058</t>
  </si>
  <si>
    <t>Inseparability in parity-time-symmetric microcavities: power spectrum</t>
  </si>
  <si>
    <t>[Mukherjee, Kousik; Jana, Paresh Chandra] Vidyasagar Univ, Dept Phys, Midnapore 721102, India; [Mukherjee, Kousik] Govt Gen Degree Coll, Dept Phys, Gopiballavpur 2, Midnapore 721517, India</t>
  </si>
  <si>
    <t>Mukherjee, K (corresponding author), Vidyasagar Univ, Dept Phys, Midnapore 721102, India.;Mukherjee, K (corresponding author), Govt Gen Degree Coll, Dept Phys, Gopiballavpur 2, Midnapore 721517, India.</t>
  </si>
  <si>
    <t>10.1007/s12596-021-00783-y</t>
  </si>
  <si>
    <t>Samanta, S.; Ojha, A.; Das, B.; Mondal, S. K.</t>
  </si>
  <si>
    <t>A Profit Maximisation Solid Transportation Problem Using Genetic Algorithm in Fuzzy Environment</t>
  </si>
  <si>
    <t>FUZZY INFORMATION AND ENGINEERING</t>
  </si>
  <si>
    <t>[Samanta, S.; Ojha, A.; Mondal, S. K.] Vidyasagar Univ, Dept Appl Math Oceanol &amp; Comp Programming, Midnapore, India; [Das, B.] Sidho Kanho Birsha Univ, Dept Math, Purulia, India</t>
  </si>
  <si>
    <t>Samanta, S (corresponding author), Vidyasagar Univ, Dept Appl Math Oceanol &amp; Comp Programming, Midnapore, India.</t>
  </si>
  <si>
    <t>1616-8658</t>
  </si>
  <si>
    <t>1616-8666</t>
  </si>
  <si>
    <t>FUZZY INF ENG</t>
  </si>
  <si>
    <t>Fuzzy Inf. Eng.</t>
  </si>
  <si>
    <t>10.1080/16168658.2021.1915454</t>
  </si>
  <si>
    <t>Layek, Ujjwal; Kundu, Arijit; Bisui, Sourabh; Karmakar, Prakash</t>
  </si>
  <si>
    <t>Impact of managed stingless bee and western honey bee colonies on native pollinators and yield of watermelon: A comparative study</t>
  </si>
  <si>
    <t>ANNALS OF AGRICULTURAL SCIENCE</t>
  </si>
  <si>
    <t>[Layek, Ujjwal] Rampurhat Coll, Dept Bot, Birbhum 731224, India; [Kundu, Arijit; Bisui, Sourabh; Karmakar, Prakash] Vidyasagar Univ, Dept Bot &amp; Forestry, Midnapore 721102, India</t>
  </si>
  <si>
    <t>0570-1783</t>
  </si>
  <si>
    <t>2090-8377</t>
  </si>
  <si>
    <t>ANN AGR SCI-CAIRO</t>
  </si>
  <si>
    <t>Ann. Agric. Sci.</t>
  </si>
  <si>
    <t>10.1016/j.aoas.2021.02.004</t>
  </si>
  <si>
    <t>Introduction to Entrepreneurship</t>
  </si>
  <si>
    <t>Entrepreneurship Around Us</t>
  </si>
  <si>
    <t>Mondal, Raju; Kumar, Amit; Chattopadhyay, Sanjib Kumar</t>
  </si>
  <si>
    <t>Structural property, molecular regulation, and functional diversity of glutamine synthetase in higher plants: a data-mining bioinformatics approach</t>
  </si>
  <si>
    <t>PLANT JOURNAL</t>
  </si>
  <si>
    <t>[Mondal, Raju] Govt India, Minist Text, Cent Sericultural Germ Plasm Resources Ctr CSGRC, Cent Silk Board,Mulberry Tissue Culture Lab, Hosur 635109, India; [Kumar, Amit] Govt India, Minist Text, Cent Silk Board, Host Plant Sect,Cent Muga Efi Res &amp; Training Inst, Jorhat 785700, Assam, India; [Chattopadhyay, Sanjib Kumar] Vidyasagar Univ, Directorate Distance Educ, Midnapore West 721102, W Bengal, India</t>
  </si>
  <si>
    <t>Mondal, R (corresponding author), Govt India, Minist Text, Cent Sericultural Germ Plasm Resources Ctr CSGRC, Cent Silk Board,Mulberry Tissue Culture Lab, Hosur 635109, India.</t>
  </si>
  <si>
    <t>0960-7412</t>
  </si>
  <si>
    <t>1365-313X</t>
  </si>
  <si>
    <t>PLANT J</t>
  </si>
  <si>
    <t>Plant J.</t>
  </si>
  <si>
    <t>10.1111/tpj.15536</t>
  </si>
  <si>
    <t>Measuring the applicability of user-generated social tags along with expert-generated LCSH descriptors in Sociology: a heuristic study</t>
  </si>
  <si>
    <t>[Samanta, Kalyan Sundar] Prabhu Jagatbandhu Coll, Howrah 711302, W Bengal, India; [Samanta, Kalyan Sundar; Rath, Durga Sankar] Vidyasagar Univ, Dept Lib &amp; Informat Sci, Midnapore 721102, W Bengal, India</t>
  </si>
  <si>
    <t>Samanta, KS (corresponding author), Prabhu Jagatbandhu Coll, Howrah 711302, W Bengal, India.;Samanta, KS (corresponding author), Vidyasagar Univ, Dept Lib &amp; Informat Sci, Midnapore 721102, W Bengal, India.</t>
  </si>
  <si>
    <t>Funding and Organisational Support</t>
  </si>
  <si>
    <t>Roy, Sumita; Maiti, Monali; Das, Siddhartha</t>
  </si>
  <si>
    <t>Self-Assembly Study of Sodium Salt of 2-Amidodecyl Pyridine-5-Boronic Acid and Sodium Salt of 2-Amidododecyl Pyridine-5-Boronic Acid in Buffer Solution</t>
  </si>
  <si>
    <t>JOURNAL OF SURFACE SCIENCE AND TECHNOLOGY</t>
  </si>
  <si>
    <t>[Roy, Sumita; Maiti, Monali; Das, Siddhartha] Vidyasagar Univ, Dept Chem, Paschim Medinipur 721102, W Bengal, India</t>
  </si>
  <si>
    <t>Roy, S (corresponding author), Vidyasagar Univ, Dept Chem, Paschim Medinipur 721102, W Bengal, India.</t>
  </si>
  <si>
    <t>INFORMATICS PUBL LTD</t>
  </si>
  <si>
    <t>Bangalore</t>
  </si>
  <si>
    <t>NO 194, R V Road, P B NO 400, Basavanagudi, Bangalore, Karnataka, INDIA</t>
  </si>
  <si>
    <t>0970-1893</t>
  </si>
  <si>
    <t>0976-9420</t>
  </si>
  <si>
    <t>J SURF SCI TECHNOL</t>
  </si>
  <si>
    <t>J. Surf. Sci. Technol.</t>
  </si>
  <si>
    <t>10.18311/jsst/2021/25053</t>
  </si>
  <si>
    <t>Physics, Applied</t>
  </si>
  <si>
    <t>Sen, Sanjib; Patra, Kartik; Mondal, Shyamal Kumar</t>
  </si>
  <si>
    <t>A new approach to similarity measure for generalized trapezoidal fuzzy numbers and its application to fuzzy risk analysis</t>
  </si>
  <si>
    <t>[Sen, Sanjib; Mondal, Shyamal Kumar] Vidyasagar Univ, Dept Appl Math Oceanol &amp; Comp Programming, Midnapore 721102, WB, India; [Patra, Kartik] Vivekananda Satavarshiki Mahavidyalaya, Dept Math, Manikpara 721513, WB, India</t>
  </si>
  <si>
    <t>Patra, K (corresponding author), Vivekananda Satavarshiki Mahavidyalaya, Dept Math, Manikpara 721513, WB, India.</t>
  </si>
  <si>
    <t>10.1007/s41066-020-00227-1</t>
  </si>
  <si>
    <t>Does farm size matters in determining efficiency in Indian agriculture: a case study of rice production in Eastern India</t>
  </si>
  <si>
    <t>INTERNATIONAL JOURNAL OF SUSTAINABLE AGRICULTURAL MANAGEMENT AND INFORMATICS</t>
  </si>
  <si>
    <t>[Chakraborty, Chandrima] Vidyasagar Univ, Dept Econ, Midnapore, W Bengal, India; [Pal, Dipyaman] Bethune Coll, Dept Econ, Kolkata, India</t>
  </si>
  <si>
    <t>Chakraborty, C (corresponding author), Vidyasagar Univ, Dept Econ, Midnapore, W Bengal, India.</t>
  </si>
  <si>
    <t>2054-5819</t>
  </si>
  <si>
    <t>2054-5827</t>
  </si>
  <si>
    <t>INT J SUST AGR MANAG</t>
  </si>
  <si>
    <t>Int. J. Sustain. Agric. Manage. Inform.</t>
  </si>
  <si>
    <t>Agriculture, Multidisciplinary; Computer Science, Interdisciplinary Applications; Green &amp; Sustainable Science &amp; Technology</t>
  </si>
  <si>
    <t>Agriculture; Computer Science; Science &amp; Technology - Other Topics</t>
  </si>
  <si>
    <t>Poulik, Soumitra; Das, Sankar; Ghorai, Ganesh</t>
  </si>
  <si>
    <t>Randic index of bipolar fuzzy graphs and its application in network systems</t>
  </si>
  <si>
    <t>[Poulik, Soumitra; Das, Sankar; Ghorai, Ganesh] Vidyasagar Univ, Dept Appl Math Oceanol &amp; Comp Programming, Midnapore 721102, India; [Das, Sankar] Kharagpur Coll, Dept Math, Kharagpur 721305, W Bengal, India</t>
  </si>
  <si>
    <t>10.1007/s12190-021-01619-5</t>
  </si>
  <si>
    <t>Layek, Ujjwal; Bisui, Sourabh; Karmakar, Prakash</t>
  </si>
  <si>
    <t>Flight range and resource loading-unloading behavior of stingless bee Tetragonula iridipennis (Smith)</t>
  </si>
  <si>
    <t>JOURNAL OF APICULTURAL RESEARCH</t>
  </si>
  <si>
    <t>[Layek, Ujjwal] Rampurhat Coll, Dept Bot, Birbhum, India; [Bisui, Sourabh; Karmakar, Prakash] Vidyasagar Univ, Dept Bot &amp; Forestry, Midnapore, India</t>
  </si>
  <si>
    <t>0021-8839</t>
  </si>
  <si>
    <t>2078-6913</t>
  </si>
  <si>
    <t>J APICULT RES</t>
  </si>
  <si>
    <t>J. Apic. Res.</t>
  </si>
  <si>
    <t>10.1080/00218839.2021.1994259</t>
  </si>
  <si>
    <t>Kamila, Amrit; Bandyopadhyay, Jatisankar; Paul, Ashis Kumar</t>
  </si>
  <si>
    <t>Assessment of Landscape Ecological Connectivity for Sustainable Management of Digha-Shankarpur Coastal Tract, West Bengal, India</t>
  </si>
  <si>
    <t>[Kamila, Amrit; Bandyopadhyay, Jatisankar] Vidyasagar Univ, Dept Remote Sensing &amp; GIS, Midnapore 721102, India; [Paul, Ashis Kumar] EM Vidyasagar Univ, Dept Geog, Midnapore 721102, India</t>
  </si>
  <si>
    <t>10.1007/s12524-021-01419-1</t>
  </si>
  <si>
    <t>Majumder, Soumi; Mondal, Atreyee</t>
  </si>
  <si>
    <t>Are chatbots really useful for human resource management?</t>
  </si>
  <si>
    <t>INTERNATIONAL JOURNAL OF SPEECH TECHNOLOGY</t>
  </si>
  <si>
    <t>[Majumder, Soumi] Vidyasagar Univ, Dept Business Adm, Midnapore, W Bengal, India; [Mondal, Atreyee] Techno India Coll Technol, Dept Informat Technol, Kolkata, India</t>
  </si>
  <si>
    <t>Mondal, A (corresponding author), Techno India Coll Technol, Dept Informat Technol, Kolkata, India.</t>
  </si>
  <si>
    <t>1381-2416</t>
  </si>
  <si>
    <t>1572-8110</t>
  </si>
  <si>
    <t>INT J SPEECH TECHNOL</t>
  </si>
  <si>
    <t>Int. J. Speech Technol.</t>
  </si>
  <si>
    <t>10.1007/s10772-021-09834-y</t>
  </si>
  <si>
    <t>Ghorai, Subrata; Bag, Braja Gopal</t>
  </si>
  <si>
    <t>Garland, Flower, and Petals via a Hierarchical Self-Assembly of Ursane-Type Triterpenoid Uvaol</t>
  </si>
  <si>
    <t>[Ghorai, Subrata; Bag, Braja Gopal] Vidyasagar Univ, Dept Chem &amp; Chem Technol, Midnapore 721102, W Bengal, India</t>
  </si>
  <si>
    <t>10.1021/acsomega.1c02630</t>
  </si>
  <si>
    <t>Pakhira, Nilesh; Maiti, Manas Kumar</t>
  </si>
  <si>
    <t>A multi-item supply chain with multi-level trade credit policy under inflation: A mixed mode ABC approach</t>
  </si>
  <si>
    <t>[Pakhira, Nilesh] Vidyasagar Univ, Dept Appl Math, Oceanol &amp; Comp Programming, Midnapore 721102, WB, India; [Maiti, Manas Kumar] Mahishadal Raj Coll, Dept Math, Purba Medinipur 721628, WB, India</t>
  </si>
  <si>
    <t>Pakhira, N (corresponding author), Vidyasagar Univ, Dept Appl Math, Oceanol &amp; Comp Programming, Midnapore 721102, WB, India.</t>
  </si>
  <si>
    <t>10.1016/j.cie.2021.107412</t>
  </si>
  <si>
    <t>Layek, Ujjwal; Bera, Krishnendu; Bera, Bubai; Bisui, Sourabh; Pattanayek, Subir Kumar; Karmakar, Prakash</t>
  </si>
  <si>
    <t>Assessment of yield enhancement in cashew (Anacardium occidentale L.) by the pollinator sharing effect of magnetic bee-friendly plants in India</t>
  </si>
  <si>
    <t>[Layek, Ujjwal] Rampurhat Coll, Dept Bot, Birbhum 731224, India; [Bera, Krishnendu; Bera, Bubai; Bisui, Sourabh; Pattanayek, Subir Kumar; Karmakar, Prakash] Vidyasagar Univ, Dept Bot &amp; Forestry, Midnapore 721102, India</t>
  </si>
  <si>
    <t>10.1016/j.chnaes.2021.05.003</t>
  </si>
  <si>
    <t>Al Mamon, Abdulla; Saha, Subhajit</t>
  </si>
  <si>
    <t>Testing lambert W equation of state with observational hubble parameter data</t>
  </si>
  <si>
    <t>NEW ASTRONOMY</t>
  </si>
  <si>
    <t>[Al Mamon, Abdulla] Vidyasagar Univ, Vivekananda Satavarshiki Mahavidyalaya, Dept Phys, Manikpara 721513, W Bengal, India; [Saha, Subhajit] Panihati Mahavidyalaya, Dept Math, Kolkata 700110, W Bengal, India</t>
  </si>
  <si>
    <t>1384-1076</t>
  </si>
  <si>
    <t>1384-1092</t>
  </si>
  <si>
    <t>NEW ASTRON</t>
  </si>
  <si>
    <t>New Astron.</t>
  </si>
  <si>
    <t>10.1016/j.newast.2020.101567</t>
  </si>
  <si>
    <t>Measuring Citation Diffusion of Selective Indian Physics and Astronomy Journals by Citation Swing Factor (CSF)</t>
  </si>
  <si>
    <t>[Das, Amit Kumar] Shatter Coll Dantan, Cent Lib, Paschim Medinipur, W Bengal, India; [Dutta, Bidyarthi] Vidyasagar Univ, Midnapore, W Bengal, India</t>
  </si>
  <si>
    <t>10.5530/jscires.10.3.47</t>
  </si>
  <si>
    <t>Nayim, Sk; Jana, Gopal Chandra; Aktara, Mt Nasima; Khatun, Munira; Dhal, Asima; Beg, Maidul; Sahoo, Nandan Kumar; Maji, Anukul; Hossain, Maidul</t>
  </si>
  <si>
    <t>9-N-substituted novel berberine derivative for selective and sensitive nanomolar level fluorometric detection of human hemoglobin: A synthesis, sensing and interaction study</t>
  </si>
  <si>
    <t>[Nayim, Sk; Jana, Gopal Chandra; Aktara, Mt Nasima; Khatun, Munira; Dhal, Asima; Beg, Maidul; Sahoo, Nandan Kumar; Maji, Anukul; Hossain, Maidul] Vidyasagar Univ, Dept Chem, Midnapore 721102, W Bengal, India</t>
  </si>
  <si>
    <t>Hossain, M (corresponding author), Vidyasagar Univ, Dept Chem, Midnapore 721102, W Bengal, India.</t>
  </si>
  <si>
    <t>10.1016/j.molliq.2020.114741</t>
  </si>
  <si>
    <t>Roy, Nirmal Chandra; Biswas, Debasish</t>
  </si>
  <si>
    <t>Integration and Maintenance Function in Tea Estates of North Bengal</t>
  </si>
  <si>
    <t>HUMAN RESOURCE MANAGEMENT IN THE INDIAN TEA INDUSTRY</t>
  </si>
  <si>
    <t>[Roy, Nirmal Chandra] Univ Burdwan, Dept Business Adm Human Resource, Burdwan, W Bengal, India; [Biswas, Debasish] Vidyasagar Univ, Dept Business Adm, Midnapore, W Bengal, India</t>
  </si>
  <si>
    <t>Roy, NC (corresponding author), Univ Burdwan, Dept Business Adm Human Resource, Burdwan, W Bengal, India.</t>
  </si>
  <si>
    <t>978-1-003-13333-9; 978-0-367-67907-1</t>
  </si>
  <si>
    <t>Das, S.; Pal, T. K.; Jana, R. N.</t>
  </si>
  <si>
    <t>Electromagnetic Hybrid Nano-Blood Pumping via Peristalsis Through an Endoscope Having Blood Clotting in Presence of Hall and Ion Slip Currents</t>
  </si>
  <si>
    <t>BIONANOSCIENCE</t>
  </si>
  <si>
    <t>[Das, S.; Pal, T. K.] Univ Gour Banga, Dept Math, Malda 732103, India; [Jana, R. N.] Vidyasagar Univ, Dept Appl Math, Midnapore 721102, India</t>
  </si>
  <si>
    <t>2191-1630</t>
  </si>
  <si>
    <t>2191-1649</t>
  </si>
  <si>
    <t>BioNanoScience</t>
  </si>
  <si>
    <t>10.1007/s12668-021-00853-2</t>
  </si>
  <si>
    <t>Materials Science, Biomaterials</t>
  </si>
  <si>
    <t>Medda, Nandita; Kumar, De Subrata; Maiti, Smarajit</t>
  </si>
  <si>
    <t>Different mechanisms of arsenic related signaling in cellular proliferation, apoptosis and neo-plastic transformation</t>
  </si>
  <si>
    <t>[Medda, Nandita] Vidyasagar Univ, Ctr Life Sci, Midnapore 721102, W Bengal, India; [Medda, Nandita; Maiti, Smarajit] Oriental Inst Sci &amp; Technol, Post Grad Dept Biochem &amp; Biotechnol, Cell &amp; Mol Therapeut Lab, Midnapore 721102, W Bengal, India; [Kumar, De Subrata] Vidyasagar Univ, Dept Zool, Midnapore 721102, W Bengal, India; [Kumar, De Subrata] Mahatma Gandhi Univ, Purba Medinipur 721102, W Bengal, India</t>
  </si>
  <si>
    <t>Maiti, S (corresponding author), Oriental Inst Sci &amp; Technol, Post Grad Dept Biochem &amp; Biotechnol, Cell &amp; Mol Therapeut Lab, Midnapore 721102, W Bengal, India.</t>
  </si>
  <si>
    <t>10.1016/j.ecoenv.2020.111752</t>
  </si>
  <si>
    <t>Deb, Anuradha; Bhattacharjee, Indranil; Das, Tilak; Mandal, Biplab; Chakravorty, Partha Pratim</t>
  </si>
  <si>
    <t>Modelling of Surface Water Quality Parameters from Damodar River at Slag Disposal Site: A Case Study</t>
  </si>
  <si>
    <t>INTERNATIONAL JOURNAL OF ECOLOGY &amp; DEVELOPMENT</t>
  </si>
  <si>
    <t>[Deb, Anuradha; Bhattacharjee, Indranil; Das, Tilak; Chakravorty, Partha Pratim] Raja Narendra Lal Khan Womens Coll Autonomous, Nat &amp; Appl Sci Res Ctr, PG Dept Zool, Paschim Medinipur 721102, W Bengal, India; [Bhattacharjee, Indranil] Dr Bhupendra Nath Dutta Smriti Mahavidyalaya, Dept Zool, Hatgobindapur, India; [Mandal, Biplab] Vidyasagar Univ, Dept Zool, Midnapore, W Bengal, India</t>
  </si>
  <si>
    <t>CENTRE ENVIRONMENT SOCIAL &amp; ECONOMIC RESEARCH PUBL-CESER</t>
  </si>
  <si>
    <t>UTTARAKHAND</t>
  </si>
  <si>
    <t>PO BOX 113 ROORKEE, UTTARAKHAND, 247 667, INDIA</t>
  </si>
  <si>
    <t>0972-9984</t>
  </si>
  <si>
    <t>0973-7308</t>
  </si>
  <si>
    <t>INT J ECOL DEV</t>
  </si>
  <si>
    <t>Int. J. Ecol. Dev.</t>
  </si>
  <si>
    <t>Sk, Sahanowas; Halder, Santoshi</t>
  </si>
  <si>
    <t>Effect of Emotional Intelligence and Critical Thinking Disposition on Resilience of the Student in Transition to Higher Education Phase</t>
  </si>
  <si>
    <t>JOURNAL OF COLLEGE STUDENT RETENTION-RESEARCH THEORY &amp; PRACTICE</t>
  </si>
  <si>
    <t>[Sk, Sahanowas] Vidyasagar Univ, Govt Gen Degree Coll, Dept Educ, Paschim Medinipur, W Bengal, India; [Halder, Santoshi] Univ Calcutta, Dept Educ, Kolkata, W Bengal, India</t>
  </si>
  <si>
    <t>Sk, S (corresponding author), Vidyasagar Univ, Govt Gen Degree Coll, Dept Educ, Paschim Medinipur, W Bengal, India.;Halder, S (corresponding author), Univ Calcutta, Dept Educ, Kolkata, W Bengal, India.</t>
  </si>
  <si>
    <t>1521-0251</t>
  </si>
  <si>
    <t>1541-4167</t>
  </si>
  <si>
    <t>J COLL STUD RETENT-R</t>
  </si>
  <si>
    <t>J. Coll. Stud. Retent.-Res. Theory Pract.</t>
  </si>
  <si>
    <t>10.1177/15210251211037996</t>
  </si>
  <si>
    <t>Bhunia, Prasenjit; Dutta, Kingshuk</t>
  </si>
  <si>
    <t>Redox Mediation in Ionic Liquid-Functionalized Graphene for Facilitation of β-Nicotinamide Adenine Dinucleotide Electrooxidation</t>
  </si>
  <si>
    <t>INDUSTRIAL &amp; ENGINEERING CHEMISTRY RESEARCH</t>
  </si>
  <si>
    <t>[Dutta, Kingshuk] Cent Inst Petrochem Engn &amp; Technol CIPET, Sch Adv Res Petrochem SARP, Adv Polymer Design &amp; Dev Res Lab APDDRL, Bengaluru 562149, Karnataka, India; [Bhunia, Prasenjit] Vidyasagar Univ, Silda Chandra Sekhar Coll, Dept Chem, Jhargram 721515, W Bengal, India</t>
  </si>
  <si>
    <t>Bhunia, P (corresponding author), Vidyasagar Univ, Silda Chandra Sekhar Coll, Dept Chem, Jhargram 721515, W Bengal, India.</t>
  </si>
  <si>
    <t>0888-5885</t>
  </si>
  <si>
    <t>IND ENG CHEM RES</t>
  </si>
  <si>
    <t>Ind. Eng. Chem. Res.</t>
  </si>
  <si>
    <t>10.1021/acs.iecr.1c00972</t>
  </si>
  <si>
    <t>Engineering, Chemical</t>
  </si>
  <si>
    <t>Das, Sanatan; Barman, Bhola Nath; Jana, Rabindra Nath</t>
  </si>
  <si>
    <t>Hall and ion-slip currents' role in transportation dynamics of ionic Casson hybrid nano-liquid in a microchannel via electroosmosis and peristalsis</t>
  </si>
  <si>
    <t>KOREA-AUSTRALIA RHEOLOGY JOURNAL</t>
  </si>
  <si>
    <t>[Das, Sanatan; Barman, Bhola Nath] Univ Gour Banga, Dept Math, Malda 732103, India; [Jana, Rabindra Nath] Vidyasagar Univ, Dept Appl Math, Midnapore 721102, India</t>
  </si>
  <si>
    <t>KOREAN SOC RHEOLOGY</t>
  </si>
  <si>
    <t>KOREA SCI TECHNOLOGY CENTER, 635-4 YUKSAM-DONG, STE 806, KANGNAM-GOO, SEOUL 135-703, SOUTH KOREA</t>
  </si>
  <si>
    <t>1226-119X</t>
  </si>
  <si>
    <t>2093-7660</t>
  </si>
  <si>
    <t>KOREA-AUST RHEOL J</t>
  </si>
  <si>
    <t>Korea-Aust. Rheol. J.</t>
  </si>
  <si>
    <t>10.1007/s13367-021-0029-6</t>
  </si>
  <si>
    <t>Mechanics; Polymer Science</t>
  </si>
  <si>
    <t>Jana, Chiranjibe; Muhiuddin, G.; Pal, Madhumangal</t>
  </si>
  <si>
    <t>Multi-criteria decision making approach based on SVTrN Dombi aggregation functions</t>
  </si>
  <si>
    <t>[Jana, Chiranjibe; Pal, Madhumangal] Vidyasagar Univ, Dept Appl Math Oceanol &amp; Comp Programming, Midnapore 721102, India; [Muhiuddin, G.] Univ Tabuk, Dept Math, Tabuk 71491, Saudi Arabia</t>
  </si>
  <si>
    <t>10.1007/s10462-020-09936-0</t>
  </si>
  <si>
    <t>Bag, Sudin; Ray, Nilanjan; Banerjee, Bidisha</t>
  </si>
  <si>
    <t>Assessing the Effects of Experiential Quality on Behavioural Intention of Customers in Banking Services: The Moderating Role of Experiential Satisfaction</t>
  </si>
  <si>
    <t>[Bag, Sudin] Vidyasagar Univ, Fac Arts &amp; Commerce, Dept Business Adm, Midnapore, West Bengal, India; [Ray, Nilanjan] Adamas Univ, Dept Management, Kolkata, West Bengal, India; [Banerjee, Bidisha] IMT, Business Sch OB &amp; HR, Dubai, U Arab Emirates; [Bag, Sudin] Vidyasagar Univ, Fac Arts &amp; Commerce, Dept Business Adm, Midnapore 721102, West Bengal, India</t>
  </si>
  <si>
    <t>Bag, S (corresponding author), Vidyasagar Univ, Fac Arts &amp; Commerce, Dept Business Adm, Midnapore 721102, West Bengal, India.</t>
  </si>
  <si>
    <t>2021 NOV 18</t>
  </si>
  <si>
    <t>10.1177/23197145211052817</t>
  </si>
  <si>
    <t>Small size monopole antenna with tri-band notch characteristics for broadband application</t>
  </si>
  <si>
    <t>JOURNAL OF ELECTRICAL ENGINEERING-ELEKTROTECHNICKY CASOPIS</t>
  </si>
  <si>
    <t>[Bala, Susmita] Vidyasagar Univ Midnapore, Dept Elect, Midnapore, W Bengal, India; [Reddy, P. Soni; Sarkar, Sushanta; Sarkar, Partha Pratim] Univ Kalyani, Dept Engn &amp; Technol Studies, Nadia, W Bengal, India</t>
  </si>
  <si>
    <t>Bala, S (corresponding author), Vidyasagar Univ Midnapore, Dept Elect, Midnapore, W Bengal, India.</t>
  </si>
  <si>
    <t>SLOVAK UNIV TECHNOLOGY</t>
  </si>
  <si>
    <t>BRATISLAVA</t>
  </si>
  <si>
    <t>FAC ELECTRICAL ENGINEERING &amp; INFORMATION, ILKOVICOVA 3, BRATISLAVA, 812 19, SLOVAKIA</t>
  </si>
  <si>
    <t>1335-3632</t>
  </si>
  <si>
    <t>1339-309X</t>
  </si>
  <si>
    <t>J ELECTR ENG-SLOVAK</t>
  </si>
  <si>
    <t>J. Electr. Eng.</t>
  </si>
  <si>
    <t>10.2478/jee-2021-0059</t>
  </si>
  <si>
    <t>Human Resource Management in the Indian Tea Industry Preface</t>
  </si>
  <si>
    <t>XVI</t>
  </si>
  <si>
    <t>XVII</t>
  </si>
  <si>
    <t>Growth and Development of Tea Industry in India Particularly in North Bengal</t>
  </si>
  <si>
    <t>Lu, Tzu-Chuen; Yang, Ping-Chung; Jana, Biswapati</t>
  </si>
  <si>
    <t>Improving the Reversible LSB Matching Scheme Based on the Likelihood Re-Encoding Strategy</t>
  </si>
  <si>
    <t>[Lu, Tzu-Chuen; Yang, Ping-Chung] Chaoyang Univ Technol, Dept Informat Management, Taichung 41349, Taiwan; [Jana, Biswapati] Vidyasagar Univ, Dept Comp Sci, Midnapore 721102, India</t>
  </si>
  <si>
    <t>10.3390/e23050577</t>
  </si>
  <si>
    <t>Halder(Jana), Sharmistha; Jana, Biswapati</t>
  </si>
  <si>
    <t>Application of fuzzy logic based GA and PSO to solve 4D multi-item transportation problem for substitute and complementary items</t>
  </si>
  <si>
    <t>[Halder(Jana), Sharmistha] Midnapore Coll Autonomous, Dept Math, Midnapore 721101, W Bengal, India; [Jana, Biswapati] Vidyasagar Univ, Dept Comp Sci, Midnapore 721102, W Bengal, India</t>
  </si>
  <si>
    <t>10.1007/s12065-021-00630-w</t>
  </si>
  <si>
    <t>Aich, Debasish; Saha, Satyajit; Kamilya, Tapanendu</t>
  </si>
  <si>
    <t>Synthesis and characterization of star shaped α-Fe2O3/Au nanocomposites</t>
  </si>
  <si>
    <t>[Aich, Debasish] Kharagpur Coll, Dept Phys, Kharagpur 721305, W Bengal, India; [Aich, Debasish; Saha, Satyajit] Vidyasagar Univ, Dept Phys &amp; Technophys, Midnapore 721102, W Bengal, India; [Kamilya, Tapanendu] Narajole Raj Coll, Dept Phys, Midnapore 721211, W Bengal, India</t>
  </si>
  <si>
    <t>Kamilya, T (corresponding author), Narajole Raj Coll, Dept Phys, Midnapore 721211, W Bengal, India.</t>
  </si>
  <si>
    <t>10.1016/j.matpr.2020.08.608</t>
  </si>
  <si>
    <t>Bhunia, Gouri Sankar; Roy, Santanu; Shit, Pravat Kumar</t>
  </si>
  <si>
    <t>Spatio-temporal analysis of COVID-19 in India - a geostatistical approach</t>
  </si>
  <si>
    <t>SPATIAL INFORMATION RESEARCH</t>
  </si>
  <si>
    <t>[Bhunia, Gouri Sankar] Seacom Skill Univ, Dept Geog, Birbhum 731236, W Bengal, India; [Roy, Santanu] Vidyasagar Univ, Dept Remote Sensing &amp; GIS, Midnapore 721102, W Bengal, India; [Shit, Pravat Kumar] Raja Narendra Lal Khan Womens Coll, Dept Geog, Gope Palace,Vidyasagar Univ Rd, Medinipur 721102, W Bengal, India</t>
  </si>
  <si>
    <t>Shit, PK (corresponding author), Raja Narendra Lal Khan Womens Coll, Dept Geog, Gope Palace,Vidyasagar Univ Rd, Medinipur 721102, W Bengal, India.</t>
  </si>
  <si>
    <t>SPRINGER SINGAPORE PTE LTD</t>
  </si>
  <si>
    <t>152 Beach Road, #21-01 Gateway East, SINGAPORE, SINGAPORE</t>
  </si>
  <si>
    <t>2366-3286</t>
  </si>
  <si>
    <t>2366-3294</t>
  </si>
  <si>
    <t>SPAT INF RES</t>
  </si>
  <si>
    <t>Spat. Inf. Res.</t>
  </si>
  <si>
    <t>10.1007/s41324-020-00376-0</t>
  </si>
  <si>
    <t>Remote Sensing</t>
  </si>
  <si>
    <t>Pal, Pabitra; Jana, Biswapati; Bhaumik, Jaydeb</t>
  </si>
  <si>
    <t>An Image Authentication and Tampered Detection Scheme Exploiting Local Binary Pattern Along with Hamming Error Correcting Code</t>
  </si>
  <si>
    <t>[Pal, Pabitra; Jana, Biswapati] Vidyasagar Univ, Dept Comp Sci, West Midnapore 721102, India; [Bhaumik, Jaydeb] Jadavpur Univ, Dept ETCE, Kolkata 700032, India</t>
  </si>
  <si>
    <t>10.1007/s11277-021-08666-y</t>
  </si>
  <si>
    <t>Sarkar, Subhadeep; Das, Vikas Kumar; Barman, Krishnendu; Debnath, Koustuv</t>
  </si>
  <si>
    <t>Effect of the Wave on Sediment Suspension and the Morphological Pattern of Ripple Formation</t>
  </si>
  <si>
    <t>[Sarkar, Subhadeep; Das, Vikas Kumar; Debnath, Koustuv] Indian Inst Engn Sci &amp; Technol, Dept Aerosp Engn &amp; Appl Mech, Sibpur 711103, India; [Barman, Krishnendu] Vidyasagar Univ, Dept Appl Math Oceanol &amp; Comp Programming, Midnapore 721102, India</t>
  </si>
  <si>
    <t>Debnath, K (corresponding author), Indian Inst Engn Sci &amp; Technol, Dept Aerosp Engn &amp; Appl Mech, Sibpur 711103, India.</t>
  </si>
  <si>
    <t>10.1007/s12601-021-00012-4</t>
  </si>
  <si>
    <t>Social Environment of Elderly Living Accommodations and Its Determinants: Insight from Northeast India</t>
  </si>
  <si>
    <t>ADVANCES IN GERONTOLOGY</t>
  </si>
  <si>
    <t>[Maity, Shrabanti] Vidyasagar Univ, Dept Econ, Midnapore 721102, W Bengal, India; [Sinha, Anup] Assam Univ, Dept Econ, Silchar 788011, Assam, India</t>
  </si>
  <si>
    <t>Sinha, A (corresponding author), Assam Univ, Dept Econ, Silchar 788011, Assam, India.</t>
  </si>
  <si>
    <t>2079-0570</t>
  </si>
  <si>
    <t>2079-0589</t>
  </si>
  <si>
    <t>ADV GERONTOL</t>
  </si>
  <si>
    <t>Adv. Gerontol.</t>
  </si>
  <si>
    <t>10.1134/S2079057021010422</t>
  </si>
  <si>
    <t>Wideband monopole antenna with dual band rejection characteristics</t>
  </si>
  <si>
    <t>[Bala, Susmita] Vidyasagar Univ, Dept Elect, Midnapore, W Bengal, India; [Reddy, P. Soni; Sarkar, Sushanta; Sarkar, Partha Pratim] Kalyani Univ, Dept DETS, Kalyani, W Bengal, India</t>
  </si>
  <si>
    <t>10.2478/jee-2021-0037</t>
  </si>
  <si>
    <t>Paria, Kishalay; Pyne, Smritikana; Chakraborty, Susanta Kumar</t>
  </si>
  <si>
    <t>Optimization of heavy metal (lead) remedial activities of fungi Aspergillus penicillioides (F12) through extra cellular polymeric substances</t>
  </si>
  <si>
    <t>CHEMOSPHERE</t>
  </si>
  <si>
    <t>[Paria, Kishalay; Chakraborty, Susanta Kumar] Vidyasagar Univ, Dept Zool, Medinipur 721102, W Bengal, India; [Pyne, Smritikana] Jadavpur Univ, Dept Food Technol &amp; Biochem Engn, Kolkata 700032, W Bengal, India</t>
  </si>
  <si>
    <t>Paria, K (corresponding author), Vidyasagar Univ, Dept Zool, Medinipur 721102, W Bengal, India.</t>
  </si>
  <si>
    <t>0045-6535</t>
  </si>
  <si>
    <t>1879-1298</t>
  </si>
  <si>
    <t>Chemosphere</t>
  </si>
  <si>
    <t>10.1016/j.chemosphere.2021.131874</t>
  </si>
  <si>
    <t>Saha, Mousumi; Sarkar, Agniswar; Bandyopadhyay, Bidyut</t>
  </si>
  <si>
    <t>Water quality assessment of East Kolkata Wetland with a special focus on bioremediation by nitrifying bacteria</t>
  </si>
  <si>
    <t>WATER SCIENCE AND TECHNOLOGY</t>
  </si>
  <si>
    <t>[Saha, Mousumi; Bandyopadhyay, Bidyut] Vidyasagar Univ, Oriental Inst Sci &amp; Technol, Dept Biotechnol, Katwa Rd, Burdwan 713102, W Bengal, India; [Sarkar, Agniswar] Univ Burdwan, Dept Biotechnol, Bardhaman 713104, W Bengal, India</t>
  </si>
  <si>
    <t>Saha, M (corresponding author), Vidyasagar Univ, Oriental Inst Sci &amp; Technol, Dept Biotechnol, Katwa Rd, Burdwan 713102, W Bengal, India.</t>
  </si>
  <si>
    <t>IWA PUBLISHING</t>
  </si>
  <si>
    <t>REPUBLIC-EXPORT BLDG, UNITS 1 04 &amp; 1 05, 1 CLOVE CRESCENT, LONDON, ENGLAND</t>
  </si>
  <si>
    <t>0273-1223</t>
  </si>
  <si>
    <t>1996-9732</t>
  </si>
  <si>
    <t>WATER SCI TECHNOL</t>
  </si>
  <si>
    <t>Water Sci. Technol.</t>
  </si>
  <si>
    <t>10.2166/wst.2021.223</t>
  </si>
  <si>
    <t>Patra, Napur; Pramanik, Tarasankar; Pal, Madhumangal; Mondal, Sukumar</t>
  </si>
  <si>
    <t>Cliques and Clique Covers in Interval-Valued Fuzzy Graphs</t>
  </si>
  <si>
    <t>INTERNATIONAL JOURNAL OF COMPUTATIONAL INTELLIGENCE SYSTEMS</t>
  </si>
  <si>
    <t>[Patra, Napur; Mondal, Sukumar] Raja NL Khan Womens Coll, Dept Math, Midnapore 721102, India; [Pramanik, Tarasankar] Khanpur Gangche High Sch, Dept Math, Midnapore 721201, India; [Pal, Madhumangal] Vidyasagar Univ, Dept Appl Math Oceanol &amp; Comp Programming, Midnapore 721102, India</t>
  </si>
  <si>
    <t>ATLANTIS PRESS</t>
  </si>
  <si>
    <t>29 AVENUE LAUMIERE, PARIS, 75019, FRANCE</t>
  </si>
  <si>
    <t>1875-6891</t>
  </si>
  <si>
    <t>1875-6883</t>
  </si>
  <si>
    <t>INT J COMPUT INT SYS</t>
  </si>
  <si>
    <t>Int. J. Comput. Intell. Syst.</t>
  </si>
  <si>
    <t>10.2991/ijcis.d.210610.001</t>
  </si>
  <si>
    <t>Das, Amit Kumar; Das, Gopinath; Dutta, Bidyarthi</t>
  </si>
  <si>
    <t>A selective review of bibliometric studies on Indian physics and astronomy research output</t>
  </si>
  <si>
    <t>[Das, Amit Kumar] Bhatter Coll, Cent Lib, Paschim Medinipur 721426, W Bengal, India; [Das, Gopinath] Goaltore, Santal Bidroha Sardha Satabarshiki Mahavidyalaya, Cent Lib, Paschim Medinipur 721128, W Bengal, India; [Dutta, Bidyarthi] Vidyasagar Univ, Dept Lib &amp; Informat Sci, Midnapore 721102, W Bengal, India</t>
  </si>
  <si>
    <t>10.56042/alis.v68i2.41198</t>
  </si>
  <si>
    <t>Das, Ramesh Chandra; Mandal, Chhanda; Patra, Arun Kumar</t>
  </si>
  <si>
    <t>Linkage between social sector's spending and HDI: study on individual as well as panel data of Indian states</t>
  </si>
  <si>
    <t>REVIEW OF SOCIAL ECONOMY</t>
  </si>
  <si>
    <t>[Das, Ramesh Chandra] Vidyasagar Univ, Econ, Midnapore 713130, India; [Mandal, Chhanda] Muralidhar Girls Coll, Econ, Kolkata, India; [Patra, Arun Kumar] Katwa Coll, Commerce, Commerce, India</t>
  </si>
  <si>
    <t>Das, RC (corresponding author), Vidyasagar Univ, Econ, Midnapore 713130, India.</t>
  </si>
  <si>
    <t>0034-6764</t>
  </si>
  <si>
    <t>1470-1162</t>
  </si>
  <si>
    <t>REV SOC ECON</t>
  </si>
  <si>
    <t>Rev. Soc. Econ.</t>
  </si>
  <si>
    <t>10.1080/00346764.2019.1671605</t>
  </si>
  <si>
    <t>Span of Management and Procurement Practices in Tea Estates of North Bengal</t>
  </si>
  <si>
    <t>Training and Compensation Practices of Tea Estates in North Bengal</t>
  </si>
  <si>
    <t>Das, S.; Banu, A. S.; Jana, R. N.</t>
  </si>
  <si>
    <t>Delineating impacts of non-uniform wall temperature and concentration on time-dependent radiation-convection of Casson fluid under magnetic field and chemical reaction</t>
  </si>
  <si>
    <t>WORLD JOURNAL OF ENGINEERING</t>
  </si>
  <si>
    <t>[Das, S.; Banu, A. S.] Univ Gour Banga, Dept Math, Malda, India; [Jana, R. N.] Vidyasagar Univ, Dept Appl Math, Midnapore, India</t>
  </si>
  <si>
    <t>Das, S (corresponding author), Univ Gour Banga, Dept Math, Malda, India.</t>
  </si>
  <si>
    <t>1708-5284</t>
  </si>
  <si>
    <t>WORLD J ENG</t>
  </si>
  <si>
    <t>World J. Eng.</t>
  </si>
  <si>
    <t>10.1108/WJE-11-2020-0607</t>
  </si>
  <si>
    <t>Das, Pinaki; Bisai, Santanu; Ghosh, Sudeshna</t>
  </si>
  <si>
    <t>Impact of pandemics on income inequality: lessons from the past</t>
  </si>
  <si>
    <t>INTERNATIONAL REVIEW OF APPLIED ECONOMICS</t>
  </si>
  <si>
    <t>[Das, Pinaki] Vidyasagar Univ, Dept Econ, Midnapore, India; [Bisai, Santanu] Sidho Kanho Birsha Univ, Dept Econ, Purulia, India; [Ghosh, Sudeshna] Scottish Church Coll, Dept Econ, Kolkata, India</t>
  </si>
  <si>
    <t>Ghosh, S (corresponding author), Scottish Church Coll, Dept Econ, Kolkata, India.</t>
  </si>
  <si>
    <t>0269-2171</t>
  </si>
  <si>
    <t>1465-3486</t>
  </si>
  <si>
    <t>INT REV APPL ECON</t>
  </si>
  <si>
    <t>Int. Rev. Appl. Econ.</t>
  </si>
  <si>
    <t>10.1080/02692171.2021.1921712</t>
  </si>
  <si>
    <t>Ghosh, Abhishek; Dey, Priyanka</t>
  </si>
  <si>
    <t>Flood Severity assessment of the coastal tract situated between Muriganga and Saptamukhi estuaries of Sundarban delta of India using Frequency Ratio (FR), Fuzzy Logic (FL), Logistic Regression (LR) and Random Forest (RF) models</t>
  </si>
  <si>
    <t>[Ghosh, Abhishek] Vidyasagar Univ, Dept Geog, Vidyasagar Univ Rd, Midnapore 721102, W Bengal, India; [Dey, Priyanka] Visva Bharati, Dept Geog, Santini Ketan, W Bengal, India; [Dey, Priyanka] House 7, Gauhati 781034, Assam, India</t>
  </si>
  <si>
    <t>Ghosh, A (corresponding author), Vidyasagar Univ, Dept Geog, Vidyasagar Univ Rd, Midnapore 721102, W Bengal, India.</t>
  </si>
  <si>
    <t>10.1016/j.rsma.2021.101624</t>
  </si>
  <si>
    <t>Das, S.; Pal, T. K.; Jana, R. N.; Giri, B.</t>
  </si>
  <si>
    <t>Ascendancy of electromagnetic force and Hall currents on blood flow carrying Cu-Au NPs in a non-uniform endoscopic annulus having wall slip</t>
  </si>
  <si>
    <t>MICROVASCULAR RESEARCH</t>
  </si>
  <si>
    <t>[Das, S.; Pal, T. K.] Univ Gour Banga, Dept Math, Malda 732103, India; [Jana, R. N.] Vidyasagar Univ, Dept Appl Math, Midnapore 721102, India; [Giri, B.] Univ Gour Banga, Dept Physiol, Malda 732103, India</t>
  </si>
  <si>
    <t>0026-2862</t>
  </si>
  <si>
    <t>1095-9319</t>
  </si>
  <si>
    <t>MICROVASC RES</t>
  </si>
  <si>
    <t>Microvasc. Res.</t>
  </si>
  <si>
    <t>10.1016/j.mvr.2021.104191</t>
  </si>
  <si>
    <t>Peripheral Vascular Disease</t>
  </si>
  <si>
    <t>Das, Gopinath; Das, Amit Kumar; Dutta, Bidyarthi</t>
  </si>
  <si>
    <t>Exploring 120 years of Indian physics and astronomy journals</t>
  </si>
  <si>
    <t>[Das, Gopinath] Santal Bidroha Sardha Satabarshiki Mahavidyalaya, Cent Lib, Paschim Medinipur 721128, W Bengal, India; [Das, Amit Kumar] Bhatter Coll, Cent Lib, Paschim Medinipur 721426, W Bengal, India; [Dutta, Bidyarthi] Vidyasagar Univ, Dept Lib &amp; Informat Sci, Midnapore 721102, W Bengal, India</t>
  </si>
  <si>
    <t>Das, G (corresponding author), Santal Bidroha Sardha Satabarshiki Mahavidyalaya, Cent Lib, Paschim Medinipur 721128, W Bengal, India.</t>
  </si>
  <si>
    <t>10.56042/alis.v68i3.44365</t>
  </si>
  <si>
    <t>Das, S.; Barman, B.; Jana, R. N.</t>
  </si>
  <si>
    <t>Influence of Hall and Ion-Slip Currents on Peristaltic Transport of Magneto-Nanofluid in an Asymmetric Channel</t>
  </si>
  <si>
    <t>[Das, S.; Barman, B.] Univ Gour Banga, Dept Math, Malda 732103, India; [Jana, R. N.] Vidyasagar Univ, Dept Appl Math, Midnapore 721102, India</t>
  </si>
  <si>
    <t>10.1007/s12668-021-00881-y</t>
  </si>
  <si>
    <t>Jana, Manasi; Jana, Biswapati</t>
  </si>
  <si>
    <t>A new DCT based robust image watermarking scheme using cellular automata</t>
  </si>
  <si>
    <t>INFORMATION SECURITY JOURNAL</t>
  </si>
  <si>
    <t>[Jana, Manasi] Haldia Inst Technol, Dept Comp Applicat, Haldia, W Bengal, India; [Jana, Biswapati] Vidyasagar Univ, Dept Comp Sci, Midnapore, W Bengal, India</t>
  </si>
  <si>
    <t>Haldia Institute of Technology; Vidyasagar University</t>
  </si>
  <si>
    <t>1939-3555</t>
  </si>
  <si>
    <t>1939-3547</t>
  </si>
  <si>
    <t>INF SECUR J</t>
  </si>
  <si>
    <t>Inf. Secur. J.</t>
  </si>
  <si>
    <t>10.1080/19393555.2021.1956023</t>
  </si>
  <si>
    <t>Dubey, Vipin Chandra; Sharma, Umesh Kumar; Al Mamon, Abdulla</t>
  </si>
  <si>
    <t>Interacting Renyi Holographic Dark Energy in the Brans-Dicke Theory</t>
  </si>
  <si>
    <t>ADVANCES IN HIGH ENERGY PHYSICS</t>
  </si>
  <si>
    <t>[Dubey, Vipin Chandra; Sharma, Umesh Kumar] GLA Univ, Inst Appl Sci &amp; Humanities, Dept Math, Mathura 281406, Uttar Pradesh, India; [Al Mamon, Abdulla] Vidyasagar Univ, Vivekananda Satavarshiki Mahavidyalaya, Dept Phys, Manikpara 721513, W Bengal, India</t>
  </si>
  <si>
    <t>GLA University; Vidyasagar University</t>
  </si>
  <si>
    <t>1687-7357</t>
  </si>
  <si>
    <t>1687-7365</t>
  </si>
  <si>
    <t>ADV HIGH ENERGY PHYS</t>
  </si>
  <si>
    <t>Adv. High. Energy Phys.</t>
  </si>
  <si>
    <t>10.1155/2021/6658862</t>
  </si>
  <si>
    <t>Das, S.; Chakraborty, S.; Jana, R. N.</t>
  </si>
  <si>
    <t>Entropy analysis of Poiseuille nanofluid flow in a porous channel with slip and convective boundary conditions under magnetic field</t>
  </si>
  <si>
    <t>[Das, S.; Chakraborty, S.] Univ Gour Banga, Dept Math, Malda, India; [Jana, R. N.] Vidyasagar Univ, Dept Appl Math, Midnapore, India</t>
  </si>
  <si>
    <t>10.1108/WJE-12-2020-0660</t>
  </si>
  <si>
    <t>History of Tea Industry in India Particularly North Bengal Region</t>
  </si>
  <si>
    <t>Amanathulla, Sk; Bera, Biswajit; Pal, Madhumangal</t>
  </si>
  <si>
    <t>Balanced picture fuzzy graph with application</t>
  </si>
  <si>
    <t>[Amanathulla, Sk] Raghunathpur Coll, Dept Math, Raghunathpur 723121, Purulia, India; [Bera, Biswajit] Kabi Jagadram Roy Govt Gen Degree Coll, Dept Math, Mejia 722143, Bankura, India; [Pal, Madhumangal] Vidyasagar Univ, Dept Appl Math Oceanol &amp; Comp Programming, Midnapore 721102, India</t>
  </si>
  <si>
    <t>Bera, B (corresponding author), Kabi Jagadram Roy Govt Gen Degree Coll, Dept Math, Mejia 722143, Bankura, India.</t>
  </si>
  <si>
    <t>10.1007/s10462-021-10020-4</t>
  </si>
  <si>
    <t>Significance of Hall currents on hybrid nano-blood flow through an inclined artery having mild stenosis: Homotopy perturbation approach</t>
  </si>
  <si>
    <t>10.1016/j.mvr.2021.104192</t>
  </si>
  <si>
    <t>Das, Vikas Kumar; Debnath, Koustuv; Roy, Sayahnya; Barman, Krishnendu; Hansda, Sunil; Mazumder, Bijoy Singha</t>
  </si>
  <si>
    <t>Effect of turbulent structures on the riverbank erosion due to tidal influence: A case study from the Rupnarayan River, eastern India</t>
  </si>
  <si>
    <t>[Das, Vikas Kumar; Debnath, Koustuv; Roy, Sayahnya; Hansda, Sunil; Mazumder, Bijoy Singha] Indian Inst Engn Sci &amp; Technol IIEST, Dept Aerosp Engn &amp; Appl Mech, Fluid Mech &amp; Hydraul Lab FMHL, Sibpur 711103, India; [Barman, Krishnendu] Vidyasagar Univ, Dept Appl Math Oceanol &amp; Comp Programming, Midnapore 721102, India</t>
  </si>
  <si>
    <t>Debnath, K (corresponding author), Indian Inst Engn Sci &amp; Technol IIEST, Dept Aerosp Engn &amp; Appl Mech, Fluid Mech &amp; Hydraul Lab FMHL, Sibpur 711103, India.</t>
  </si>
  <si>
    <t>10.1007/s12040-021-01554-w</t>
  </si>
  <si>
    <t>Maiti, Sumit Kumar; Roy, Sankar Kumar</t>
  </si>
  <si>
    <t>Bi-level Programming for Stackelberg Game with Intuitionistic Fuzzy Number: a Ranking Approach</t>
  </si>
  <si>
    <t>JOURNAL OF THE OPERATIONS RESEARCH SOCIETY OF CHINA</t>
  </si>
  <si>
    <t>[Maiti, Sumit Kumar] Haldia Inst Technol, Sch Appl Sci &amp; Humanities, Purba Midnapore 721657, WB, India; [Roy, Sankar Kumar] Vidyasagar Univ, Dept Appl Math Oceanol &amp; Comp, Programming, Midnapore 721102, WB, India</t>
  </si>
  <si>
    <t>Roy, SK (corresponding author), Vidyasagar Univ, Dept Appl Math Oceanol &amp; Comp, Programming, Midnapore 721102, WB, India.</t>
  </si>
  <si>
    <t>2194-668X</t>
  </si>
  <si>
    <t>2194-6698</t>
  </si>
  <si>
    <t>J OPER RES SOC CHINA</t>
  </si>
  <si>
    <t>J. Oper. Res. Soc. China</t>
  </si>
  <si>
    <t>10.1007/s40305-018-0234-2</t>
  </si>
  <si>
    <t>Das, S.; Patra, R. R.; Jana, R. N.</t>
  </si>
  <si>
    <t>HYDROMAGNETIC OSCILLATORY REACTIVE FLOW THROUGH A POROUS CHANNEL IN A ROTATING FRAME SUBJECT TO CONVECTIVE HEAT EXCHANGE UNDER ARRHENIUS KINETICS</t>
  </si>
  <si>
    <t>JOURNAL OF ENGINEERING PHYSICS AND THERMOPHYSICS</t>
  </si>
  <si>
    <t>[Das, S.] Univ Gour Banga, Dept Math, Malda 732103, India; [Patra, R. R.; Jana, R. N.] Vidyasagar Univ, Dept Appl Math, Midnapore 721102, India</t>
  </si>
  <si>
    <t>1062-0125</t>
  </si>
  <si>
    <t>1573-871X</t>
  </si>
  <si>
    <t>J ENG PHYS THERMOPH+</t>
  </si>
  <si>
    <t>J. Eng. Phys. Thermophys.</t>
  </si>
  <si>
    <t>10.1007/s10891-021-02347-0</t>
  </si>
  <si>
    <t>Ghosh, Pratik; Ghosh, Samarpita; Behera, Bhaskar; Behera, Jiban Kumar; Bhattacharya, Manojit; Kar, Niladri Bhusan</t>
  </si>
  <si>
    <t>In-silico analysis of non-synonymous SNPs of human LDLR gene and their impact on familial hypercholesterolemia</t>
  </si>
  <si>
    <t>[Ghosh, Pratik] Vidyasagar Univ, Dept Zool, Midnapore 721102, W Bengal, India; [Ghosh, Samarpita; Behera, Jiban Kumar; Bhattacharya, Manojit; Kar, Niladri Bhusan] Fakir Mohan Univ, Dept Zool, Balasore 756020, Odisha, India; [Behera, Bhaskar] Fakir Mohan Univ, Dept Biosci &amp; Biotechnol, Balasore 756020, Odisha, India</t>
  </si>
  <si>
    <t>Vidyasagar University; Fakir Mohan University; Fakir Mohan University</t>
  </si>
  <si>
    <t>Kar, NB (corresponding author), Fakir Mohan Univ, PG Dept Zool, Balasore 756020, Odisha, India.</t>
  </si>
  <si>
    <t>10.1016/j.genrep.2021.101127</t>
  </si>
  <si>
    <t>A secure reversible color image watermarking scheme based on LBP, lagrange interpolation polynomial and weighted matrix</t>
  </si>
  <si>
    <t>[Pal, Pabitra; Jana, Biswapati] Vidyasagar Univ, Dept Comp Sci, Midnapore 721102, W Bengal, India; [Bhaumik, Jaydeb] Jadavpur Univ, Dept ETCE, Kolkata 700032, India</t>
  </si>
  <si>
    <t>10.1007/s11042-021-10651-3</t>
  </si>
  <si>
    <t>Findings, Conclusions, and Recommendations</t>
  </si>
  <si>
    <t>Das, Sanatan; Ali, Akram; Jana, Rabindra Nath</t>
  </si>
  <si>
    <t>Numerically framing the impact of magnetic field on nanofluid flow over a curved stretching surface with convective heating</t>
  </si>
  <si>
    <t>[Das, Sanatan; Ali, Akram] Univ Gour Banga, Dept Math, Malda, India; [Jana, Rabindra Nath] Vidyasagar Univ, Dept Appl Math, Midnapore, India</t>
  </si>
  <si>
    <t>10.1108/WJE-11-2020-0587</t>
  </si>
  <si>
    <t>Tea Industry in India</t>
  </si>
  <si>
    <t>Panja, Prabir; Jana, Soovoojeet; Mondal, Shyamal Kumar</t>
  </si>
  <si>
    <t>DYNAMICS OF A STAGE STRUCTURE PREY-PREDATOR MODEL WITH RATIO-DEPENDENT FUNCTIONAL RESPONSE AND ANTI-PREDATOR BEHAVIOR OF ADULT PREY</t>
  </si>
  <si>
    <t>[Panja, Prabir] Haldia Inst Technol, Dept Appl Sci, Haldia 721657, WB, India; [Jana, Soovoojeet] Ramsaday Coll, Dept Math, Amta, Howrah, India; [Mondal, Shyamal Kumar] Vidyasagar Univ, Dept Appl Math Oceanol &amp; Comp Programming, Midnapore 721102, WB, India</t>
  </si>
  <si>
    <t>Panja, P (corresponding author), Haldia Inst Technol, Dept Appl Sci, Haldia 721657, WB, India.</t>
  </si>
  <si>
    <t>10.3934/naco.2020033</t>
  </si>
  <si>
    <t>Das, S.; Barman, B.; Jana, R. N.; Makinde, O. D.</t>
  </si>
  <si>
    <t>Hall and Ion Slip Currents' Impact on Electromagnetic Blood Flow Conveying Hybrid Nanoparticles Through an Endoscope with Peristaltic Waves</t>
  </si>
  <si>
    <t>[Das, S.; Barman, B.] Univ Gour Banga, Dept Math, Malda 732103, India; [Jana, R. N.] Vidyasagar Univ, Dept Appl Math, Midnapore 721102, India; [Makinde, O. D.] Stellenbosch Univ, Fac Mil Sci, Private Bag X2, ZA-7395 Saldanha, South Africa</t>
  </si>
  <si>
    <t>10.1007/s12668-021-00873-y</t>
  </si>
  <si>
    <t>Effects of Sm-Substitution on Dielectric and Multiferroic Properties of BiFeO3-BaTiO3 Ceramics</t>
  </si>
  <si>
    <t>INTEGRATED FERROELECTRICS</t>
  </si>
  <si>
    <t>[Kar, Bappa Sona; Jana, P. C.] Vidyasagar Univ, Dept Phys &amp; Techno Phys, Midnapore, India; [Kar, Bappa Sona] Panskura Banamali Coll Autonomous, Dept Phys, Panskura, India; [Goswami, M. N.] Midnapore Coll Autonomous, Dept Phys, Midnapore, India</t>
  </si>
  <si>
    <t>Goswami, MN (corresponding author), Midnapore Coll Autonomous, Dept Phys, Midnapore, India.</t>
  </si>
  <si>
    <t>1058-4587</t>
  </si>
  <si>
    <t>1607-8489</t>
  </si>
  <si>
    <t>INTEGR FERROELECTR</t>
  </si>
  <si>
    <t>Integr. Ferroelectr.</t>
  </si>
  <si>
    <t>10.1080/10584587.2020.1859826</t>
  </si>
  <si>
    <t>Engineering, Electrical &amp; Electronic; Physics, Applied; Physics, Condensed Matter</t>
  </si>
  <si>
    <t>Engineering; Physics</t>
  </si>
  <si>
    <t>Mahata, Gour Chandra; De, Sujit Kumar; Bhattacharya, Kousik; Maity, Suman</t>
  </si>
  <si>
    <t>Three-echelon supply chain model in an imperfect production system with inspection error, learning effect, and return policy under fuzzy environment</t>
  </si>
  <si>
    <t>[Mahata, Gour Chandra] Sidhu Kanho Birsha Univ, Dept Math, PO Purulia Sainik Sch, Purulia 723104, W Bengal, India; [De, Sujit Kumar; Bhattacharya, Kousik] Midnapore Coll Autonomous, Dept Math, Medinipur, India; [Maity, Suman] Vidyasagar Univ, Dept Appl Math Oceanol &amp; Comp Programming, Midnapore, India</t>
  </si>
  <si>
    <t>Mahata, GC (corresponding author), Sidhu Kanho Birsha Univ, Dept Math, PO Purulia Sainik Sch, Purulia 723104, W Bengal, India.</t>
  </si>
  <si>
    <t>10.1080/23302674.2021.1962427</t>
  </si>
  <si>
    <t>Barman, Monica; Ghissing, Upashana; Dey, Pritam Kumar; Agarwal, Avinash; Bera, Bubai; Kotamreddy, Jhansi Narmada Reddy; Karmakar, Prakash; Mitra, Adinpunya</t>
  </si>
  <si>
    <t>Specialized metabolites contributing to colour and scent volatiles in Uvaria hamiltonii flowers</t>
  </si>
  <si>
    <t>[Barman, Monica; Ghissing, Upashana; Dey, Pritam Kumar; Agarwal, Avinash; Kotamreddy, Jhansi Narmada Reddy; Mitra, Adinpunya] Indian Inst Technol Kharagpur, Agr &amp; Food Engn Dept, Nat Prod Biotechnol Grp, Kharagpur 721302, W Bengal, India; [Bera, Bubai; Karmakar, Prakash] Vidyasagar Univ, Dept Bot &amp; Forestry, Palynol &amp; Plant Reprod Biol Lab, Midnapore, India</t>
  </si>
  <si>
    <t>Mitra, A (corresponding author), Indian Inst Technol Kharagpur, Agr &amp; Food Engn Dept, Nat Prod Biotechnol Grp, Kharagpur 721302, W Bengal, India.</t>
  </si>
  <si>
    <t>10.1080/14786419.2019.1610959</t>
  </si>
  <si>
    <t>Aktar, Md Samim; De, Manoranjan; Mazumder, Sanat Kumar; Maiti, Manoranjan</t>
  </si>
  <si>
    <t>Multi-Objective Green 4-dimensional transportation problems for breakable incompatible items with different fixed charge payment policies</t>
  </si>
  <si>
    <t>[Aktar, Md Samim; Mazumder, Sanat Kumar] Indian Inst Engn Sci &amp; Technol, Dept Math, Sibpur, India; [De, Manoranjan] Mugberia Gangadhar Mahavidyalaya, Dept Math, Bhupati Nagar, W Bengal, India; [Maiti, Manoranjan] Vidyasagar Univ, Dept Math, Midnapore, W Bengal, India</t>
  </si>
  <si>
    <t>10.1016/j.cie.2021.107184</t>
  </si>
  <si>
    <t>Roy, Sayahnya; Barman, Krishnendu; Debnath, Koustuv; Mazumder, Bijoy S.</t>
  </si>
  <si>
    <t>Quantification of turbulent structures in and around the boundary region of a turbulent round jet released into counter-flow</t>
  </si>
  <si>
    <t>MEASUREMENT</t>
  </si>
  <si>
    <t>[Roy, Sayahnya] KPR Inst Engn &amp; Technol, Dept Mech Engn, Arasur 641407, Tamil Nadu, India; [Barman, Krishnendu] Vidyasagar Univ, Dept Appl Math Oceanol &amp; Comp Programming, Paschim Medinipur 721102, W Bengal, India; [Debnath, Koustuv; Mazumder, Bijoy S.] Indian Inst Engn Sci &amp; Technol IIEST, Dept Aerosp Engn &amp; Appl Mech, Sibpur 711103, India</t>
  </si>
  <si>
    <t>0263-2241</t>
  </si>
  <si>
    <t>1873-412X</t>
  </si>
  <si>
    <t>Measurement</t>
  </si>
  <si>
    <t>10.1016/j.measurement.2020.108758</t>
  </si>
  <si>
    <t>Engineering, Multidisciplinary; Instruments &amp; Instrumentation</t>
  </si>
  <si>
    <t>Engineering; Instruments &amp; Instrumentation</t>
  </si>
  <si>
    <t>Improved mother's health helps in universalisation of child immunisation - myth or reality? Evidence from Assam</t>
  </si>
  <si>
    <t>DEVELOPMENT IN PRACTICE</t>
  </si>
  <si>
    <t>[Maity, Shrabanti] Vidyasagar Univ, Econ, Midnapore, India; [Barlaskar, Ummey Rummana] Assam Univ, Econ Dept, Silchar, India; [Bhumali, Anil] Raiganj Univ, Raiganj, W Bengal, India</t>
  </si>
  <si>
    <t>0961-4524</t>
  </si>
  <si>
    <t>1364-9213</t>
  </si>
  <si>
    <t>DEV PRACT</t>
  </si>
  <si>
    <t>Dev. Pract.</t>
  </si>
  <si>
    <t>10.1080/09614524.2021.1911944</t>
  </si>
  <si>
    <t>Mishra, Vinod Kumar; Rath, Durga Sankar</t>
  </si>
  <si>
    <t>Data migration, RFID integration and implementation of Koha: a case study of NIT Rourkela</t>
  </si>
  <si>
    <t>[Mishra, Vinod Kumar; Rath, Durga Sankar] Vidyasagar Univ, Dept Lib &amp; Informat Sci, Midnapore 721101, W Bengal, India; [Mishra, Vinod Kumar] NIT Rourkela, Rourkela 769008, Odisha, India</t>
  </si>
  <si>
    <t>Vidyasagar University; National Institute of Technology (NIT System); National Institute of Technology Rourkela</t>
  </si>
  <si>
    <t>Mishra, VK (corresponding author), Vidyasagar Univ, Dept Lib &amp; Informat Sci, Midnapore 721101, W Bengal, India.;Mishra, VK (corresponding author), NIT Rourkela, Rourkela 769008, Odisha, India.</t>
  </si>
  <si>
    <t>10.56042/alis.v68i1.37510</t>
  </si>
  <si>
    <t>Kumar, De Sujit; Mahata, Gour Chandra; Maity, Suman</t>
  </si>
  <si>
    <t>Carbon emission sensitive deteriorating inventory model with trade credit under volumetric fuzzy system</t>
  </si>
  <si>
    <t>Midnapore Coll Autonomous, Dept Math, Midnapore, India; [Mahata, Gour Chandra] Purulia Sainik Sch, Sidho Kanho Birsha Univ, Dept Math, PO Ranchi Rd, Purulia 723104, W Bengal, India; [Maity, Suman] Vidyasagar Univ, Dept Appl Math Oceanol &amp; Comp Programming, Midnapore, India</t>
  </si>
  <si>
    <t>Mahata, GC (corresponding author), Purulia Sainik Sch, Sidho Kanho Birsha Univ, Dept Math, PO Ranchi Rd, Purulia 723104, W Bengal, India.</t>
  </si>
  <si>
    <t>10.1002/int.22599</t>
  </si>
  <si>
    <t>Ray, Mousumi; Hor, Papan; Singh, Som Nath; Mondal, Keshab Chandra</t>
  </si>
  <si>
    <t>Multipotent antioxidant and antitoxicant potentiality of an indigenous probiotic Bifidobacterium sp. MKK4</t>
  </si>
  <si>
    <t>JOURNAL OF FOOD SCIENCE AND TECHNOLOGY-MYSORE</t>
  </si>
  <si>
    <t>[Ray, Mousumi; Hor, Papan; Mondal, Keshab Chandra] Vidyasagar Univ, Dept Microbiol, Midnapore 721102, W Bengal, India; [Singh, Som Nath] DRDO, Def Inst Physiol &amp; Allied Sci, Delhi, India</t>
  </si>
  <si>
    <t>0022-1155</t>
  </si>
  <si>
    <t>0975-8402</t>
  </si>
  <si>
    <t>J FOOD SCI TECH MYS</t>
  </si>
  <si>
    <t>J. Food Sci. Technol.-Mysore</t>
  </si>
  <si>
    <t>10.1007/s13197-021-04975-z</t>
  </si>
  <si>
    <t>Effects of lanthanum dopants on dielectric and multiferroic properties of BiFeO3-BaTiO3 ceramics</t>
  </si>
  <si>
    <t>[Kar, Bappa Sona; Jana, P. C.] Vidyasagar Univ, Dept Phys &amp; Techno Phys, Midnapore, W Bengal, India; [Goswami, M. N.] Midnapore Coll Autonomous, Dept Phys, Midnapore, W Bengal, India; [Kar, Bappa Sona] Panskura Banamali Coll Autonomous, Dept Phys, Panskura, W Bengal, India</t>
  </si>
  <si>
    <t>Goswami, MN (corresponding author), Midnapore Coll Autonomous, Dept Phys, Midnapore, W Bengal, India.</t>
  </si>
  <si>
    <t>10.1016/j.jallcom.2020.157960</t>
  </si>
  <si>
    <t>Banu, Ateka; Manna, Amalesh Kumar; Mondal, Shyamal Kumar</t>
  </si>
  <si>
    <t>Adjustment of credit period and stock-dependent demands in a supply chain model with variable imperfectness</t>
  </si>
  <si>
    <t>[Banu, Ateka; Mondal, Shyamal Kumar] Vidyasagar Univ, Dept Appl Math Oceanol &amp; Comp Programming, Midnapore 721102, W Bengal, India; [Manna, Amalesh Kumar] Univ Burdwan, Dept Math, Burdwan 713104, W Bengal, India</t>
  </si>
  <si>
    <t>Banu, A (corresponding author), Vidyasagar Univ, Dept Appl Math Oceanol &amp; Comp Programming, Midnapore 721102, W Bengal, India.</t>
  </si>
  <si>
    <t>10.1051/ro/2021058</t>
  </si>
  <si>
    <t>Bandyopadhyay, Arghya; Manna, Shibam; Maji, Dipannita</t>
  </si>
  <si>
    <t>Hydrodynamic aspects of tsunami wave motion: a review</t>
  </si>
  <si>
    <t>OCEAN DYNAMICS</t>
  </si>
  <si>
    <t>[Bandyopadhyay, Arghya] Khalisani Mahavidyalaya, Dept Math, Chandannagar, India; [Manna, Shibam] IIEST, Dept Math, Sibpur, India; [Maji, Dipannita] Vidyasagar Univ, Dept Appl Math, Midnapore, India</t>
  </si>
  <si>
    <t>Bandyopadhyay, A (corresponding author), Khalisani Mahavidyalaya, Dept Math, Chandannagar, India.</t>
  </si>
  <si>
    <t>1616-7341</t>
  </si>
  <si>
    <t>1616-7228</t>
  </si>
  <si>
    <t>OCEAN DYNAM</t>
  </si>
  <si>
    <t>Ocean Dyn.</t>
  </si>
  <si>
    <t>10.1007/s10236-021-01454-z</t>
  </si>
  <si>
    <t>Oceanography</t>
  </si>
  <si>
    <t>Kshatriya, Gautam K.; Das, Mithun; Bose, Kaushik</t>
  </si>
  <si>
    <t>Ethnic heterogeneity in body composition patterning and CVD risk factors: a multi-ethnic study of Asian Indian Tribes</t>
  </si>
  <si>
    <t>[Kshatriya, Gautam K.] Univ Delhi, Dept Anthropol, Delhi, India; [Das, Mithun] Sidho Kanho Birsha Univ, Dept Anthropol &amp; Tribal Studies, Purulia, W Bengal, India; [Bose, Kaushik] Vidyasagar Univ, Dept Anthropol, Midnapore, W Bengal, India</t>
  </si>
  <si>
    <t>Das, M (corresponding author), Sidho Kanho Birsha Univ, Dept Anthropol &amp; Tribal Studies, Purulia, W Bengal, India.</t>
  </si>
  <si>
    <t>10.1080/13557858.2021.1910626</t>
  </si>
  <si>
    <t>Datta, Debajit; Roy, Asit Kumar; Kundu, Arnab; Dutta, Dipanwita; Neogy, Sohini</t>
  </si>
  <si>
    <t>An alternative approach to delineate wetland influence zone of a tropical intertidal mudflat using geo-information technology</t>
  </si>
  <si>
    <t>ESTUARINE COASTAL AND SHELF SCIENCE</t>
  </si>
  <si>
    <t>[Datta, Debajit; Roy, Asit Kumar; Neogy, Sohini] Jadavpur Univ, Dept Geog, Kolkata 700032, India; [Kundu, Arnab] Bankura Univ, PRMS Mahavidyalaya, Dept Geoinformat, Bankura 722150, W Bengal, India; [Dutta, Dipanwita] Vidyasagar Univ, Dept Remote Sensing, Midnapore 721102, W Bengal, India; [Dutta, Dipanwita] Vidyasagar Univ, GIS, Midnapore 721102, W Bengal, India</t>
  </si>
  <si>
    <t>Datta, D (corresponding author), Jadavpur Univ, Dept Geog, Kolkata 700032, India.</t>
  </si>
  <si>
    <t>0272-7714</t>
  </si>
  <si>
    <t>1096-0015</t>
  </si>
  <si>
    <t>ESTUAR COAST SHELF S</t>
  </si>
  <si>
    <t>Estuar. Coast. Shelf Sci.</t>
  </si>
  <si>
    <t>10.1016/j.ecss.2021.107308</t>
  </si>
  <si>
    <t>Samanta, Sovan; Pal, Madhumangal; Mahapatra, Rupkumar; Das, Kousik; Bhadoria, Robin Singh</t>
  </si>
  <si>
    <t>A Study on Semi-directed Graphs for Social Media Networks</t>
  </si>
  <si>
    <t>[Samanta, Sovan] Tamralipta Mahavidyalaya, Dept Math, Tamluk 721636, W Bengal, India; [Pal, Madhumangal; Mahapatra, Rupkumar] Vidyasagar Univ, Dept Appl Math Oceanol &amp; Comp Programming, Midnapore 721102, India; [Das, Kousik] DJH Sch, Dept Math, Dantan 721451, W Bengal, India; [Bhadoria, Robin Singh] Birla Inst Appl Sci, Dept Comp Sci &amp; Engn, Bhimtal, Uttarakhand, India</t>
  </si>
  <si>
    <t>10.2991/ijcis.d.210301.001</t>
  </si>
  <si>
    <t>Mukherjee, Joyita; Saha, Nimai Chandra; Karan, Samya</t>
  </si>
  <si>
    <t>Bioaccumulation pattern of heavy metals in fish tissues and associated health hazards in human population</t>
  </si>
  <si>
    <t>[Mukherjee, Joyita] Krishna Chandra Coll, Dept Zool, Hetampur, W Bengal, India; [Saha, Nimai Chandra] Univ Burdwan, Dept Zool, Vice Chancellors Res Grp, Burdwan, W Bengal, India; [Karan, Samya] Vidyasagar Univ, Dept Environm Sci, Midnapore, W Bengal, India</t>
  </si>
  <si>
    <t>Mukherjee, J (corresponding author), Krishna Chandra Coll, Dept Zool, Hetampur, W Bengal, India.</t>
  </si>
  <si>
    <t>10.1007/s11356-021-17297-6</t>
  </si>
  <si>
    <t>Ali, Asgar; Jana, R. N.; Das, Sanatan</t>
  </si>
  <si>
    <t>Significance of entropy generation and heat source: the case of peristaltic blood flow through a ciliated tube conveying Cu-Ag nanoparticles using Phan-Thien-Tanner model</t>
  </si>
  <si>
    <t>BIOMECHANICS AND MODELING IN MECHANOBIOLOGY</t>
  </si>
  <si>
    <t>[Ali, Asgar] Bajkul Milani Mahavidyalaya, Dept Math, Purba Medinipur 721655, India; [Jana, R. N.] Vidyasagar Univ, Dept Appl Math, Midnapore 721102, India; [Das, Sanatan] Univ Gour Banga, Dept Math, Malda 732103, India</t>
  </si>
  <si>
    <t>Vidyasagar University; University of Gour Banga</t>
  </si>
  <si>
    <t>1617-7959</t>
  </si>
  <si>
    <t>1617-7940</t>
  </si>
  <si>
    <t>BIOMECH MODEL MECHAN</t>
  </si>
  <si>
    <t>Biomech. Model. Mechanobiol.</t>
  </si>
  <si>
    <t>10.1007/s10237-021-01515-8</t>
  </si>
  <si>
    <t>Biophysics; Engineering, Biomedical</t>
  </si>
  <si>
    <t>Biophysics; Engineering</t>
  </si>
  <si>
    <t>Omrane, Amina; Bag, Sudin</t>
  </si>
  <si>
    <t>Which strategies are appropriate for the fight against the worldwide coronavirus crisis?</t>
  </si>
  <si>
    <t>[Omrane, Amina] Univ Sfax, IHEC Carthage, ECSTRA Res Ctr, Sfax, Tunisia; [Bag, Sudin] Vidyasagar Univ, Business Adm Dept, Midnapore, W Bengal, India</t>
  </si>
  <si>
    <t>Universite de Sfax; Universite de Carthage; Vidyasagar University</t>
  </si>
  <si>
    <t>Omrane, A (corresponding author), Univ Sfax, IHEC Carthage, ECSTRA Res Ctr, Sfax, Tunisia.</t>
  </si>
  <si>
    <t>10.1504/IJICBM.2021.117476</t>
  </si>
  <si>
    <t>Dutta, Shubhamita; Jana, Tushar K.; Maiti, Ramaprasad; De, Kalyanashis; Chatterjee, Kuntal</t>
  </si>
  <si>
    <t>α-Fe2O3 Nanoparticles Embedded in a g-C3N4 Nanocomposite: Optical, Magnetic and Electrochemical Study</t>
  </si>
  <si>
    <t>[Dutta, Shubhamita; Jana, Tushar K.; Chatterjee, Kuntal] Vidyasagar Univ, Dept Phys, Midnapore 721102, India; [Maiti, Ramaprasad] Derozio Mem Coll, Dept Elect, Rajarhat Rd, Kolkata 700136, India; [De, Kalyanashis] Neotia Univ, Sch Sci &amp; Technol, DH Rd,24 Pgs South, Sarisa 743368, India</t>
  </si>
  <si>
    <t>Vidyasagar University; Derozio Memorial College</t>
  </si>
  <si>
    <t>10.1002/slct.202102739</t>
  </si>
  <si>
    <t>Chakraborty, Nabanita; Das, Basanta Kumar; Das, Archan Kanti; Manna, Ranjan Kumar; Chakraborty, Hirak Jyoti; Mandal, Basudev; Bhattacharjya, Birendra Kumar; Raut, Subhashree Subhasmita</t>
  </si>
  <si>
    <t>Antibacterial prophylaxis and molecular docking studies of ketone and ester compounds isolated from Cyperus rotundus L. against Aeromonas veronii</t>
  </si>
  <si>
    <t>AQUACULTURE RESEARCH</t>
  </si>
  <si>
    <t>[Chakraborty, Nabanita; Bhattacharjya, Birendra Kumar] ICAR Cent Inland Fisheries Res Inst, Gauhati, Assam, India; [Das, Basanta Kumar; Das, Archan Kanti; Manna, Ranjan Kumar; Chakraborty, Hirak Jyoti; Raut, Subhashree Subhasmita] ICAR Cent Inland Fisheries Res Inst, Kolkata, W Bengal, India; [Mandal, Basudev] Vidyasagar Univ, Midnapore, W Bengal, India</t>
  </si>
  <si>
    <t>Indian Council of Agricultural Research (ICAR); ICAR - Central Inland Fisheries Research Institute; Indian Council of Agricultural Research (ICAR); ICAR - Central Inland Fisheries Research Institute; Vidyasagar University</t>
  </si>
  <si>
    <t>Das, BK (corresponding author), ICAR Cent Inland Fisheries Res Inst, Kolkata, W Bengal, India.</t>
  </si>
  <si>
    <t>1355-557X</t>
  </si>
  <si>
    <t>1365-2109</t>
  </si>
  <si>
    <t>AQUAC RES</t>
  </si>
  <si>
    <t>Aquac. Res.</t>
  </si>
  <si>
    <t>10.1111/are.15670</t>
  </si>
  <si>
    <t>Bhaumik, Ankan; Roy, Sankar Kumar; Weber, Gerhard Wilhelm</t>
  </si>
  <si>
    <t>MULTI-OBJECTIVE LINGUISTIC-NEUTROSOPHIC MATRIX GAME AND ITS APPLICATIONS TO TOURISM MANAGEMENT</t>
  </si>
  <si>
    <t>[Bhaumik, Ankan; Roy, Sankar Kumar] Vidyasagar Univ, Dept Appl Math Oceanol &amp; Comp Programming, Midnapore 721102, W Bengal, India; [Weber, Gerhard Wilhelm] Poznan Univ Tech, Fac Engn Management, Ul Jacka Rychlewskiego 2, PL-61138 Poznan, Poland; [Weber, Gerhard Wilhelm] METU, TR-06800 Ankara, Turkey</t>
  </si>
  <si>
    <t>10.3934/jdg.2020031</t>
  </si>
  <si>
    <t>Saha, Ratnadeep; Ghosh, Pratik; Burra, V. L. S. Prasad</t>
  </si>
  <si>
    <t>Designing a next generation multi-epitope based peptide vaccine candidate against SARS-CoV-2 using computational approaches</t>
  </si>
  <si>
    <t>[Saha, Ratnadeep] Govt Tripura, Dept Fisheries, Agartala 799006, India; [Ghosh, Pratik] Vidyasagar Univ, Dept Zool, Midnapore 721102, W Bengal, India; [Burra, V. L. S. Prasad] KLEF, Dept Biotechnol, Vaddeswaram 522502, Andhra Pradesh, India</t>
  </si>
  <si>
    <t>Vidyasagar University; Koneru Lakshmaiah Education Foundation (K L Deemed to be University)</t>
  </si>
  <si>
    <t>Burra, VLSP (corresponding author), KLEF, Dept Biotechnol, Vaddeswaram 522502, Andhra Pradesh, India.</t>
  </si>
  <si>
    <t>10.1007/s13205-020-02574-x</t>
  </si>
  <si>
    <t>Dynamics of an interacting Barrow holographic dark energy model and its thermodynamic implications</t>
  </si>
  <si>
    <t>[Al Mamon, Abdulla] Vidyasagar Univ, Vivekananda Satavarshiki Mahavidyalaya, Dept Phys, Manikpara 721513, W Bengal, India; [Paliathanasis, Andronikos] Durban Univ Technol, Inst Syst Sci, POB 1334, ZA-4000 Durban, South Africa; [Saha, Subhajit] Panihati Mahavidyalaya, Dept Math, Kolkata 700110, W Bengal, India</t>
  </si>
  <si>
    <t>Vidyasagar University; Durban University of Technology</t>
  </si>
  <si>
    <t>10.1140/epjp/s13360-021-01130-7</t>
  </si>
  <si>
    <t>Choudhury, Abhigyan; Das, Nabarun C.; Patra, Ritwik; Bhattacharya, Manojit; Ghosh, Pratik; Patra, Bidhan C.; Mukherjee, Suprabhat</t>
  </si>
  <si>
    <t>Exploring the binding efficacy of ivermectin against the key proteins of SARS-CoV-2 pathogenesis: an in silico approach</t>
  </si>
  <si>
    <t>FUTURE VIROLOGY</t>
  </si>
  <si>
    <t>[Choudhury, Abhigyan; Das, Nabarun C.; Patra, Ritwik; Mukherjee, Suprabhat] Kazi Nazrul Univ, Dept Anim Sci, Integrat Biochem &amp; Immunol Lab, Asansol 713340, W Bengal, India; [Bhattacharya, Manojit] Fakir Mohan Univ, Dept Zool, Balasore 756020, Odisha, India; [Ghosh, Pratik; Patra, Bidhan C.] Vidyasagar Univ, Dept Zool, Midnapore 721102, W Bengal, India</t>
  </si>
  <si>
    <t>Fakir Mohan University; Vidyasagar University</t>
  </si>
  <si>
    <t>Mukherjee, S (corresponding author), Kazi Nazrul Univ, Dept Anim Sci, Integrat Biochem &amp; Immunol Lab, Asansol 713340, W Bengal, India.</t>
  </si>
  <si>
    <t>1746-0794</t>
  </si>
  <si>
    <t>1746-0808</t>
  </si>
  <si>
    <t>FUTURE VIROL</t>
  </si>
  <si>
    <t>Future Virol.</t>
  </si>
  <si>
    <t>10.2217/fvl-2020-0342</t>
  </si>
  <si>
    <t>Bhowmik, Moumita; Ghosh, Nandini; Bhattacharya, Swati Gupta</t>
  </si>
  <si>
    <t>Allergenicity assessment of Delonix regia pollen grain and identification of allergens by immunoproteomic approach</t>
  </si>
  <si>
    <t>[Bhowmik, Moumita; Bhattacharya, Swati Gupta] Bose Inst, Div Plant Biol, 93-1 APC Rd, Kolkata 700009, India; [Ghosh, Nandini] Vidyasagar Univ, Dept Microbiol, Paschim Medinipur 721102, India</t>
  </si>
  <si>
    <t>Department of Science &amp; Technology (India); Bose Institute; Vidyasagar University</t>
  </si>
  <si>
    <t>Bhattacharya, SG (corresponding author), Bose Inst, Div Plant Biol, 93-1 APC Rd, Kolkata 700009, India.</t>
  </si>
  <si>
    <t>e06014</t>
  </si>
  <si>
    <t>10.1016/j.heliyon.2021.e06014</t>
  </si>
  <si>
    <t>Paul, Soumen; Samanta, Ankit; Sarkar, Sabyasachi; Ghosh, Chandradipa; Nandi, Dilip Kumar</t>
  </si>
  <si>
    <t>Green Synthesis of Reduced Graphene Oxide Using Root Extracts of Asparagus racemosus</t>
  </si>
  <si>
    <t>CURRENT NANOSCIENCE</t>
  </si>
  <si>
    <t>[Paul, Soumen; Nandi, Dilip Kumar] Raja Narendra Lal Khan Womens Coll Autonomous, PG Dept Human Physiol, Midnapore 721102, W Bengal, India; [Samanta, Ankit; Sarkar, Sabyasachi] IIESTS, Nanosci &amp; Synthet Leaf Lab Downing Hall, Ctr Healthcare Sci &amp; Technol, Howrah 711103, W Bengal, India; [Ghosh, Chandradipa] Vidyasagar Univ, Dept Human Physiol Community Hlth, Midnapore 721102, W Bengal, India</t>
  </si>
  <si>
    <t>Nandi, DK (corresponding author), Raja Narendra Lal Khan Womens Coll Autonomous, PG Dept Human Physiol, Midnapore 721102, W Bengal, India.</t>
  </si>
  <si>
    <t>1573-4137</t>
  </si>
  <si>
    <t>1875-6786</t>
  </si>
  <si>
    <t>CURR NANOSCI</t>
  </si>
  <si>
    <t>Curr. Nanosci.</t>
  </si>
  <si>
    <t>10.2174/1573413716666201228155730</t>
  </si>
  <si>
    <t>Biotechnology &amp; Applied Microbiology; Nanoscience &amp; Nanotechnology; Materials Science, Multidisciplinary</t>
  </si>
  <si>
    <t>Biotechnology &amp; Applied Microbiology; Science &amp; Technology - Other Topics; Materials Science</t>
  </si>
  <si>
    <t>Maity, Suman; De, Sujit Kumar; Pal, Madhumangal; Mondal, Sankar Prasad</t>
  </si>
  <si>
    <t>A Study of an EOQ Model of Growing Items with Parabolic Dense Fuzzy Lock Demand Rate</t>
  </si>
  <si>
    <t>APPLIED SYSTEM INNOVATION</t>
  </si>
  <si>
    <t>[Maity, Suman; Pal, Madhumangal] Vidyasagar Univ, Dept Appl Math Oceanol &amp; Comp Programming, Midnapore 721102, India; [De, Sujit Kumar] Midnapore Coll Autonomous, Dept Math, Midnapore 721101, India; [Mondal, Sankar Prasad] Maulana Abul Kalam Azad Univ Technol, Dept Appl Sci, Haringata 741249, W Bengal, India</t>
  </si>
  <si>
    <t>Vidyasagar University; Midnapore College; Maulana Abul Kalam Azad University of Technology</t>
  </si>
  <si>
    <t>Mondal, SP (corresponding author), Maulana Abul Kalam Azad Univ Technol, Dept Appl Sci, Haringata 741249, W Bengal, India.</t>
  </si>
  <si>
    <t>2571-5577</t>
  </si>
  <si>
    <t>APPL SYST INNOV</t>
  </si>
  <si>
    <t>Appl. Syst. Innov.</t>
  </si>
  <si>
    <t>10.3390/asi4040081</t>
  </si>
  <si>
    <t>Mondal, R.; Madhurya, K.; Saha, P.; Chattopadhyay, S. K.; Antony, S.; Kumar, A.; Roy, S.; Roy, D.</t>
  </si>
  <si>
    <t>Expression profile, transcriptional and post-transcriptional regulation of genes involved in hydrogen sulphide metabolism connecting the balance between development and stress adaptation in plants: a data-mining bioinformatics approach</t>
  </si>
  <si>
    <t>PLANT BIOLOGY</t>
  </si>
  <si>
    <t>[Mondal, R.; Madhurya, K.; Antony, S.] Govt India, Mulberry Tissue Culture Lab, Cent Sericultural Germplasm Resources Ctr CSGRC, Cent Silk Board,Minist Text, Hosur 635109, India; [Saha, P.] Durgapur Govt Coll, Dept Bot, Durgapur, India; [Chattopadhyay, S. K.] Vidyasagar Univ Midnapore West, Directorate Distance Educ, Midnapore, India; [Kumar, A.] Govt India, Host Plant Div, Minist Text, Cent Muga Eri Res &amp; Training Inst,Cent Silk Board, Jorhat, Assam, India; [Roy, S.] Santipur Coll, Dept Bot, Nadia, India; [Roy, D.] Seth Anandram Jaipuria Coll, Dept Bot, Kolkata, India</t>
  </si>
  <si>
    <t>Mondal, R (corresponding author), Govt India, Mulberry Tissue Culture Lab, Cent Sericultural Germplasm Resources Ctr CSGRC, Cent Silk Board,Minist Text, Hosur 635109, India.</t>
  </si>
  <si>
    <t>1435-8603</t>
  </si>
  <si>
    <t>1438-8677</t>
  </si>
  <si>
    <t>Plant Biol.</t>
  </si>
  <si>
    <t>10.1111/plb.13378</t>
  </si>
  <si>
    <t>Sarkar, Mrinmoy; Kumar, Asok; Maji, Bansibadan</t>
  </si>
  <si>
    <t>PAPR reduction using twin symbol hybrid optimization-based PTS and multi-chaotic-DFT sequence-based encryption in CP-OFDM system</t>
  </si>
  <si>
    <t>PHOTONIC NETWORK COMMUNICATIONS</t>
  </si>
  <si>
    <t>[Sarkar, Mrinmoy] Bankura Unnayani Inst Engn, Elect &amp; Commun Engn, Bankura 722146, W Bengal, India; [Kumar, Asok] Vidyasagar Univ, Students Welf, Midnapore 721102, W Bengal, India; [Maji, Bansibadan] NIT Durgapur, ECE Dept, Durgapur 713209, W Bengal, India</t>
  </si>
  <si>
    <t>Sarkar, M (corresponding author), Bankura Unnayani Inst Engn, Elect &amp; Commun Engn, Bankura 722146, W Bengal, India.</t>
  </si>
  <si>
    <t>1387-974X</t>
  </si>
  <si>
    <t>1572-8188</t>
  </si>
  <si>
    <t>PHOTONIC NETW COMMUN</t>
  </si>
  <si>
    <t>Photonic Netw. Commun.</t>
  </si>
  <si>
    <t>10.1007/s11107-020-00923-7</t>
  </si>
  <si>
    <t>Computer Science, Information Systems; Optics; Telecommunications</t>
  </si>
  <si>
    <t>Computer Science; Optics; Telecommunications</t>
  </si>
  <si>
    <t>Bardhan, I.; Roy, S.; Mukhopadhyay, A.; Tripathy, B.</t>
  </si>
  <si>
    <t>Ultrastructure of the Sagitta Otolith in Different Body Size Groups of Climbing Perch Anabas testudineus (Anabantidae)</t>
  </si>
  <si>
    <t>JOURNAL OF ICHTHYOLOGY</t>
  </si>
  <si>
    <t>[Bardhan, I.] Vidyasagar Univ, Womens Coll Calcutta, PG Study Ctr, Dept Zool, Kolkata 700003, W Bengal, India; [Roy, S.] City Coll, Dept Zool, Kolkata 700009, W Bengal, India; [Mukhopadhyay, A.; Tripathy, B.] Zool Survey India, Mollusca Sect, Kolkata 700053, W Bengal, India</t>
  </si>
  <si>
    <t>Vidyasagar University; University of Calcutta; Zoological survey of India</t>
  </si>
  <si>
    <t>Roy, S (corresponding author), City Coll, Dept Zool, Kolkata 700009, W Bengal, India.</t>
  </si>
  <si>
    <t>0032-9452</t>
  </si>
  <si>
    <t>1555-6425</t>
  </si>
  <si>
    <t>J ICHTHYOL+</t>
  </si>
  <si>
    <t>J. Ichthyol.</t>
  </si>
  <si>
    <t>10.1134/S0032945221010033</t>
  </si>
  <si>
    <t>Fisheries; Zoology</t>
  </si>
  <si>
    <t>Halder, Bijay; Bandyopadhyay, Jatisankar; Banik, Papiya</t>
  </si>
  <si>
    <t>Monitoring the effect of urban development on urban heat island based on remote sensing and geo-spatial approach in Kolkata and adjacent areas, India</t>
  </si>
  <si>
    <t>[Halder, Bijay; Bandyopadhyay, Jatisankar] Vidyasagar Univ, Dept Remote Sensing &amp; GIS, Midnapore, India; [Banik, Papiya] Univ Calcutta, Dept Geog, Kolkata, India</t>
  </si>
  <si>
    <t>10.1016/j.scs.2021.103186</t>
  </si>
  <si>
    <t>Majee, S.; Maiti, S.; Shit, G. C.; Maiti, D. K.</t>
  </si>
  <si>
    <t>Spatio-temporal evolution of magnetohydrodynamic blood flow and heat dynamics through a porous medium in a wavy-walled artery</t>
  </si>
  <si>
    <t>COMPUTERS IN BIOLOGY AND MEDICINE</t>
  </si>
  <si>
    <t>[Majee, S.] Indian Inst Sci, Dept Mech Engn, Bangalore 560012, Karnataka, India; [Maiti, S.; Shit, G. C.] Jadavpur Univ, Dept Math, Kolkata 700032, India; [Maiti, D. K.] Vidyasagar Univ, Dept Appl Math Oceanol &amp; Comp Programming, Medinipur 721102, W Bengal, India</t>
  </si>
  <si>
    <t>Indian Institute of Science (IISC) - Bangalore; Jadavpur University; Vidyasagar University</t>
  </si>
  <si>
    <t>Shit, GC (corresponding author), Jadavpur Univ, Dept Math, Kolkata 700032, India.</t>
  </si>
  <si>
    <t>0010-4825</t>
  </si>
  <si>
    <t>1879-0534</t>
  </si>
  <si>
    <t>COMPUT BIOL MED</t>
  </si>
  <si>
    <t>Comput. Biol. Med.</t>
  </si>
  <si>
    <t>10.1016/j.compbiomed.2021.104595</t>
  </si>
  <si>
    <t>Biology; Computer Science, Interdisciplinary Applications; Engineering, Biomedical; Mathematical &amp; Computational Biology</t>
  </si>
  <si>
    <t>Life Sciences &amp; Biomedicine - Other Topics; Computer Science; Engineering; Mathematical &amp; Computational Biology</t>
  </si>
  <si>
    <t>Mondal, Joy; Mahapatra, Ananya Das; Mandal, Keshab C.; Chattopadhyay, Debprasad</t>
  </si>
  <si>
    <t>An extract of Stephania hernandifolia, an ethnomedicinal plant, inhibits herpes simplex virus 1 entry</t>
  </si>
  <si>
    <t>ARCHIVES OF VIROLOGY</t>
  </si>
  <si>
    <t>[Mondal, Joy; Mahapatra, Ananya Das; Chattopadhyay, Debprasad] ID &amp; BG Hosp, ICMR NICED Virus Unit, GB-4,First Floor,57 Dr Suresh C Banerjee Rd, Kolkata 700010, India; [Mondal, Joy; Mandal, Keshab C.] Vidyasagar Univ, Dept Microbiol, Midnapore, W Bengal, India; [Chattopadhyay, Debprasad] ICMR Natl Inst Tradit Med, Belagavi 590010, India</t>
  </si>
  <si>
    <t>Vidyasagar University; Indian Council of Medical Research (ICMR); ICMR - National Institute of Traditional Medicine (NITM)</t>
  </si>
  <si>
    <t>Chattopadhyay, D (corresponding author), ID &amp; BG Hosp, ICMR NICED Virus Unit, GB-4,First Floor,57 Dr Suresh C Banerjee Rd, Kolkata 700010, India.;Chattopadhyay, D (corresponding author), ICMR Natl Inst Tradit Med, Belagavi 590010, India.</t>
  </si>
  <si>
    <t>0304-8608</t>
  </si>
  <si>
    <t>1432-8798</t>
  </si>
  <si>
    <t>ARCH VIROL</t>
  </si>
  <si>
    <t>Arch. Virol.</t>
  </si>
  <si>
    <t>10.1007/s00705-021-05093-z</t>
  </si>
  <si>
    <t>Maji, Durbar; Ghorai, Ganesh; Mahmood, Muhammad Khalid; Alam, Md. Ashraful</t>
  </si>
  <si>
    <t>On the Inverse Problem for Some Topological Indices</t>
  </si>
  <si>
    <t>[Maji, Durbar; Ghorai, Ganesh] Vidyasagar Univ, Dept Appl Math Oceanol &amp; Comp Programming, Midnapore 721102, India; [Mahmood, Muhammad Khalid] Univ Punjab, Dept Math, Lahore 54590, Pakistan; [Alam, Md. Ashraful] Jahangirnagar Univ, Dept Math, Dhaka, Bangladesh</t>
  </si>
  <si>
    <t>Vidyasagar University; University of Punjab; Jahangirnagar University</t>
  </si>
  <si>
    <t>Alam, MA (corresponding author), Jahangirnagar Univ, Dept Math, Dhaka, Bangladesh.</t>
  </si>
  <si>
    <t>10.1155/2021/9411696</t>
  </si>
  <si>
    <t>Midya, Sudipta; Roy, Sankar Kumar; Weber, Gerhard Wilhelm</t>
  </si>
  <si>
    <t>Fuzzy multiple objective fractional optimization in rough approximation and its aptness to the fixed-charge transportation problem</t>
  </si>
  <si>
    <t>[Midya, Sudipta; Roy, Sankar Kumar] Vidyasagar Univ, Dept Appl Math Oceanol &amp; Comp Programming, Midnapore 721102, W Bengal, India; [Weber, Gerhard Wilhelm] Poznan Univ Tech, Fac Engn Management, Ul Jacka Rychlewskiego 2, PL-60965 Poznan, Poland; Middle East Tech Univ, IAM UME, TR-06800 Ankara, Turkey</t>
  </si>
  <si>
    <t>10.1051/ro/2021078</t>
  </si>
  <si>
    <t>Ahmed, Ishita Afreen; Shahfahad; Dutta, Dipanwita K.; Baig, Mirza Razi Imam; Roy, Shouraseni Sen; Rahman, Atiqur</t>
  </si>
  <si>
    <t>Implications of changes in temperature and precipitation on the discharge of Brahmaputra River in the urban watershed of Guwahati, India</t>
  </si>
  <si>
    <t>[Ahmed, Ishita Afreen; Shahfahad; Baig, Mirza Razi Imam; Rahman, Atiqur] Jamia Millia Islamia, Fac Nat Sci, Dept Geog, New Delhi 110025, India; [Dutta, Dipanwita K.] Vidyasagar Univ, Dept Remote Sensing &amp; GIS, Midnapore 721102, W Bengal, India; [Roy, Shouraseni Sen] Univ Miami, Dept Geog &amp; Reg Studies, Coral Gables, FL 33146 USA</t>
  </si>
  <si>
    <t>Jamia Millia Islamia; Vidyasagar University; University of Miami</t>
  </si>
  <si>
    <t>Rahman, A (corresponding author), Jamia Millia Islamia, Fac Nat Sci, Dept Geog, New Delhi 110025, India.</t>
  </si>
  <si>
    <t>10.1007/s10661-021-09284-8</t>
  </si>
  <si>
    <t>Dey, Arindam; Perveen, Hasina; Khandare, Arjun L.; Banerjee, Amrita; Maiti, Smarajit; Jana, Suryashis; Chakraborty, Asit Kumar; Chattopadhyay, Sandip</t>
  </si>
  <si>
    <t>Arsenic-induced uterine apoptotic damage is protected by ethyl acetate fraction of Camellia sinensis (green tea) via Bcl-2-BAX through NF-κB regulations in Wistar rats</t>
  </si>
  <si>
    <t>[Dey, Arindam; Perveen, Hasina; Jana, Suryashis; Chattopadhyay, Sandip] Vidyasagar Univ, Dept Biomed Lab Sci &amp; Management, Midnapore 721102, West Bengal, India; [Dey, Arindam; Perveen, Hasina; Jana, Suryashis; Chattopadhyay, Sandip] Vidyasagar Univ, Clin Nutr &amp; Dietet Div, UGC Innovat Dept, Midnapore 721102, West Bengal, India; [Khandare, Arjun L.] ICMR Natl Inst Nutr, Food Safety, Hyderabad, India; [Banerjee, Amrita; Maiti, Smarajit; Chakraborty, Asit Kumar] Oriental Inst Sci &amp; Technol, Dept Biochem &amp; Biotechnol, Midnapore, India</t>
  </si>
  <si>
    <t>Vidyasagar University; Vidyasagar University; Indian Council of Medical Research (ICMR); ICMR - National Institute of Nutrition (NIN)</t>
  </si>
  <si>
    <t>Chattopadhyay, S (corresponding author), Vidyasagar Univ, Dept Biomed Lab Sci &amp; Management, Midnapore 721102, West Bengal, India.;Chattopadhyay, S (corresponding author), Vidyasagar Univ, Clin Nutr &amp; Dietet Div, UGC Innovat Dept, Midnapore 721102, West Bengal, India.</t>
  </si>
  <si>
    <t>10.1007/s11356-021-13457-w</t>
  </si>
  <si>
    <t>A study of an EOQ model with public-screened discounted items under cloudy fuzzy demand rate</t>
  </si>
  <si>
    <t>[Maity, Suman; Pal, Madhumangal] Vidyasagar Univ, Dept Appl Math Oceanol &amp; Comp Programming, Paschim Medinipur 721102, WB, India; [De, Sujit Kumar] Midnapore Coll Autonomous, Dept Math, Midnapore, WB, India; [Mondal, Sankar Prasad] Maulana Abul Kalam Azad Univ Technol, Dept Appl Sci, Kolkata, WB, India</t>
  </si>
  <si>
    <t>Maity, S (corresponding author), Vidyasagar Univ, Dept Appl Math Oceanol &amp; Comp Programming, Paschim Medinipur 721102, WB, India.</t>
  </si>
  <si>
    <t>10.3233/JIFS-210856</t>
  </si>
  <si>
    <t>Chakraborty, Kulendu Kashyap; Mukherjee, Rashmi; Chakroborty, Chandan; Bora, Kangkana</t>
  </si>
  <si>
    <t>Automated recognition of optical image based potato leaf blight diseases using deep learning</t>
  </si>
  <si>
    <t>PHYSIOLOGICAL AND MOLECULAR PLANT PATHOLOGY</t>
  </si>
  <si>
    <t>[Chakraborty, Kulendu Kashyap] Girijananda Chowdhury Inst Management &amp; Technol, Dept Comp Sci &amp; Engn, Gauhati 781017, Assam, India; [Mukherjee, Rashmi] Vidyasagar Univ, Raja Narendra Lal Khan Womens Coll Autonomous, Dept Bot UG &amp; PG, Midnapore 721102, W Bengal, India; [Chakroborty, Chandan] Natl Inst Tech Teachers Training &amp; Res, Dept Comp Sci &amp; Engn, Kolkata 700106, W Bengal, India; [Bora, Kangkana] Cotton Univ, Dept Comp Sci &amp; Informat Technol, Gauhati 781001, Assam, India</t>
  </si>
  <si>
    <t>Vidyasagar University; National Institute of Technical Teachers Training &amp; Research, Kolkata</t>
  </si>
  <si>
    <t>Bora, K (corresponding author), Cotton Univ, Dept Comp Sci &amp; Informat Technol, Gauhati 781001, Assam, India.</t>
  </si>
  <si>
    <t>0885-5765</t>
  </si>
  <si>
    <t>PHYSIOL MOL PLANT P</t>
  </si>
  <si>
    <t>Physiol. Mol. Plant Pathol.</t>
  </si>
  <si>
    <t>10.1016/j.pmpp.2021.101781</t>
  </si>
  <si>
    <t>Gomula, Aleksandra; Nowak-Szczepanska, Natalia; Chakraborty, Raja; Bose, Kaushik; Koziel, Slawomir</t>
  </si>
  <si>
    <t>Indian children exposed to a natural disaster in utero or during infancy displayed smaller head dimensions than non-affected controls</t>
  </si>
  <si>
    <t>ACTA PAEDIATRICA</t>
  </si>
  <si>
    <t>[Gomula, Aleksandra; Nowak-Szczepanska, Natalia; Koziel, Slawomir] Polish Acad Sci, Hirszfeld Inst Immunol &amp; Expt Therapy, Dept Anthropol, Podwale 75, PL-50449 Wroclaw, Poland; [Chakraborty, Raja] Dinabandhu Mahavidyalaya, Dept Anthropol, Bongaon, India; [Bose, Kaushik] Vidyasagar Univ, Dept Anthropol, Midnapore, India</t>
  </si>
  <si>
    <t>Polish Academy of Sciences; Hirszfeld Institute of Immunology &amp; Experimental Therapy of the Polish Academy of Sciences; Vidyasagar University</t>
  </si>
  <si>
    <t>Gomula, A (corresponding author), Polish Acad Sci, Hirszfeld Inst Immunol &amp; Expt Therapy, Dept Anthropol, Podwale 75, PL-50449 Wroclaw, Poland.</t>
  </si>
  <si>
    <t>0803-5253</t>
  </si>
  <si>
    <t>1651-2227</t>
  </si>
  <si>
    <t>ACTA PAEDIATR</t>
  </si>
  <si>
    <t>Acta Paediatr.</t>
  </si>
  <si>
    <t>10.1111/apa.16122</t>
  </si>
  <si>
    <t>Mondal, Palash; Maiti, Dilip K.; Shit, G. C.; Ibanez, Guillermo</t>
  </si>
  <si>
    <t>Heat transfer and entropy generation in a MHD Couette-Poiseuille flow through a microchannel with slip, suction-injection and radiation</t>
  </si>
  <si>
    <t>[Mondal, Palash] Subarnarekha Mahavidyalaya, Dept Math, Gopiballavpur 721506, Jhargram, India; [Maiti, Dilip K.] Vidyasagar Univ, Dept Appl Math Oceanol &amp; Comp Programming, Midnapore 721102, India; [Shit, G. C.] Jadavpur Univ, Dept Math, Kolkata 700032, India; [Ibanez, Guillermo] Univ Ciencias &amp; Artes Chiapas, Tuxtla Gutierrez, Chiapas, Mexico</t>
  </si>
  <si>
    <t>10.1007/s10973-021-10731-4</t>
  </si>
  <si>
    <t>Choudhuri, Indranil; Khanra, Kalyani; Maity, Prasenjit; Patra, Anutosh; Maity, Gajendra Nath; Pati, Bikas Ranjan; Nag, Anish; Mondal, Soumitra; Bhattacharyya, Nandan</t>
  </si>
  <si>
    <t>Structure and biological properties of exopolysaccharide isolated from Citrobacter freundii</t>
  </si>
  <si>
    <t>[Choudhuri, Indranil; Khanra, Kalyani; Patra, Anutosh; Bhattacharyya, Nandan] Panskura Banamali Coll, Dept Biotechnol, PO Panskura RS, Purba Medinipur 721152, W Bengal, India; [Maity, Prasenjit] Sabang Sajanikanta Mahavidyalaya, Dept Chem, Paschim Midnapore 721166, W Bengal, India; [Maity, Gajendra Nath; Mondal, Soumitra] Panskura Banamali Coll, Dept Chem, Purba Medinipur 721152, W Bengal, India; [Pati, Bikas Ranjan] Vidyasagar Univ, Dept Microbiol, Medinipur 721102, W Bengal, India; [Nag, Anish] CHRIST Deemed Univ, Dept Life Sci, Bengaluru 560029, India</t>
  </si>
  <si>
    <t>Vidyasagar University; Christ University</t>
  </si>
  <si>
    <t>Bhattacharyya, N (corresponding author), Panskura Banamali Coll, Dept Biotechnol, PO Panskura RS, Purba Medinipur 721152, W Bengal, India.;Mondal, S (corresponding author), Panskura Banamali Coll, Dept Chem, Purba Medinipur 721152, W Bengal, India.</t>
  </si>
  <si>
    <t>10.1016/j.ijbiomac.2020.12.063</t>
  </si>
  <si>
    <t>Evaluation of the Climate Change Impact on Urban Heat Island Based on Land Surface Temperature and Geospatial Indicators</t>
  </si>
  <si>
    <t>INTERNATIONAL JOURNAL OF ENVIRONMENTAL RESEARCH</t>
  </si>
  <si>
    <t>[Halder, Bijay; Bandyopadhyay, Jatisankar] Vidyasagar Univ, Dept Remote Sensing &amp; GIS, Midnapore, India; [Bandyopadhyay, Jatisankar] Vidyasagar Univ, Ctr Environm Studies, Midnapore, India; [Banik, Papiya] Univ Calcutta, Dept Geog, Kolkata, India</t>
  </si>
  <si>
    <t>Vidyasagar University; Vidyasagar University; University of Calcutta</t>
  </si>
  <si>
    <t>1735-6865</t>
  </si>
  <si>
    <t>2008-2304</t>
  </si>
  <si>
    <t>INT J ENVIRON RES</t>
  </si>
  <si>
    <t>Int. J. Environ. Res.</t>
  </si>
  <si>
    <t>10.1007/s41742-021-00356-8</t>
  </si>
  <si>
    <t>Datta, Debajit; Dey, Mansa; Neogy, Sohini; Basu Roy, Tanushree; Dutta, Dipanwita; Kundu, Arnab; Nandi, Gouranga</t>
  </si>
  <si>
    <t>Assessing vegetation fragmentation and plantation efficiency in an intertidal mudflat of Eastern India using Radar Forest Degradation Index and spatial metrics</t>
  </si>
  <si>
    <t>[Datta, Debajit; Dey, Mansa; Nandi, Gouranga] Jadavpur Univ, Dept Geog, Kolkata, India; [Neogy, Sohini] Banwarilal Bhalotia Coll, Dept Geog, Asansol, W Bengal, India; [Basu Roy, Tanushree; Dutta, Dipanwita] Vidyasagar Univ, Dept Remote Sensing GIS, Midnapore, India; [Kundu, Arnab] Bankura Univ, Dept Geo Informat, P R M S Mahavidyalaya, Bankura, India</t>
  </si>
  <si>
    <t>Datta, D (corresponding author), Jadavpur Univ, Dept Geog, Kolkata, India.</t>
  </si>
  <si>
    <t>10.1080/10106049.2021.2017014</t>
  </si>
  <si>
    <t>Paria, Prasenjit; Behera, Bijay Kumar; Das Mohapatra, Pradeep Kumar; Parida, Pranaya Kumar</t>
  </si>
  <si>
    <t>Virulence factor genes and comparative pathogenicity study of tdh, trh and tlh positive Vibrio parahaemolyticus strains isolated from Whiteleg shrimp, Litopenaeus vannamei (Boone, 1931) in India</t>
  </si>
  <si>
    <t>[Paria, Prasenjit; Behera, Bijay Kumar; Parida, Pranaya Kumar] ICAR Cent Inland Fisheries Res Inst, Biotechnol Lab, Aquat Environm Biotechnol &amp; Nanotechnol Div, Kolkata 700120, W Bengal, India; [Paria, Prasenjit] Vidyasagar Univ, Dept Microbiol, Midnapure 721102, W Bengal, India; [Das Mohapatra, Pradeep Kumar] Raiganj Univ, Dept Microbiol, Uttar Dinajpur 733134, W Bengal, India</t>
  </si>
  <si>
    <t>Behera, BK (corresponding author), ICAR Cent Inland Fisheries Res Inst, Biotechnol Lab, Aquat Environm Biotechnol &amp; Nanotechnol Div, Kolkata 700120, W Bengal, India.</t>
  </si>
  <si>
    <t>10.1016/j.meegid.2021.105083</t>
  </si>
  <si>
    <t>Bustos Usta, David Francisco; Teymouri, Maryam; Chatterjee, Uday</t>
  </si>
  <si>
    <t>Projections of temperature changes over South America during the twenty-first century using CMIP6 models</t>
  </si>
  <si>
    <t>[Bustos Usta, David Francisco] Univ Concepcion, Concepcion, Chile; [Teymouri, Maryam] Univ Mohaghegh Ardabili, Ardebil, Iran; [Chatterjee, Uday] Vidyasagar Univ, Bhatter Coll, Dept Geog, Dantan 721426, W Bengal, India</t>
  </si>
  <si>
    <t>Universidad de Concepcion; University of Mohaghegh Ardabili; Vidyasagar University</t>
  </si>
  <si>
    <t>Chatterjee, U (corresponding author), Vidyasagar Univ, Bhatter Coll, Dept Geog, Dantan 721426, W Bengal, India.</t>
  </si>
  <si>
    <t>SUPPL 4</t>
  </si>
  <si>
    <t>10.1007/s10708-021-10531-1</t>
  </si>
  <si>
    <t>Rakshit, Subham; Mondal, Subhadeep; Pal, Kalyanbrata; Jana, Arijit; Soren, Jyoti Prakash; Barman, Prasenjit; Mondal, Keshab Chandra; Halder, Suman Kumar</t>
  </si>
  <si>
    <t>Extraction of chitin from Litopenaeus vannamei shell and its subsequent characterization: an approach of waste valorization through microbial bioprocessing</t>
  </si>
  <si>
    <t>BIOPROCESS AND BIOSYSTEMS ENGINEERING</t>
  </si>
  <si>
    <t>[Rakshit, Subham; Pal, Kalyanbrata; Soren, Jyoti Prakash; Mondal, Keshab Chandra; Halder, Suman Kumar] Vidyasagar Univ, Dept Microbiol, Midnapore 721102, W Bengal, India; [Mondal, Subhadeep] Vidyasagar Univ, Ctr Life Sci, Midnapore 721102, W Bengal, India; [Jana, Arijit] Indian Inst Petr, CSIR, Mat Resource Efficiency Div, Dehra Dun 248005, Uttarakhand, India; [Barman, Prasenjit] Finray Biotech INC, Kolkata 700078, W Bengal, India</t>
  </si>
  <si>
    <t>1615-7591</t>
  </si>
  <si>
    <t>1615-7605</t>
  </si>
  <si>
    <t>BIOPROC BIOSYST ENG</t>
  </si>
  <si>
    <t>Bioprocess. Biosyst. Eng.</t>
  </si>
  <si>
    <t>10.1007/s00449-021-02574-y</t>
  </si>
  <si>
    <t>Biotechnology &amp; Applied Microbiology; Engineering, Chemical</t>
  </si>
  <si>
    <t>Biotechnology &amp; Applied Microbiology; Engineering</t>
  </si>
  <si>
    <t>Chakraborti, Suman; Maiti, Arabinda; Pramanik, Suvamoy; Sannigrahi, Srikanta; Pilla, Francesco; Banerjee, Anushna; Das, Dipendra Nath</t>
  </si>
  <si>
    <t>Evaluating the plausible application of advanced machine learnings in exploring determinant factors of present pandemic: A case for continent specific COVID-19 analysis</t>
  </si>
  <si>
    <t>[Chakraborti, Suman; Pramanik, Suvamoy; Banerjee, Anushna; Das, Dipendra Nath] Jawaharlal Nehru Univ, Ctr Study Reg Dev, Delhi 110067, India; [Maiti, Arabinda] Vidyasagar Univ, Geog &amp; Environm Management, Midnapore, W Bengal, India; [Sannigrahi, Srikanta; Pilla, Francesco] Univ Coll Dublin Richview, Sch Architecture Planning &amp; Environm Policy, Dublin D14 E099, Ireland</t>
  </si>
  <si>
    <t>Jawaharlal Nehru University, New Delhi; Vidyasagar University; University College Dublin</t>
  </si>
  <si>
    <t>Maiti, A (corresponding author), Vidyasagar Univ, Geog &amp; Environm Management, Midnapore, W Bengal, India.</t>
  </si>
  <si>
    <t>10.1016/j.scitotenv.2020.142723</t>
  </si>
  <si>
    <t>Pal, Amitava; Manna, Sourav; Dalui, Rishna; Mukhopadhyay, Rupanjan; Dhara, Prakash C.</t>
  </si>
  <si>
    <t>Undernutrition and associated factors among children aged 5-10 years in West Bengal, India: a community-based cross-sectional study</t>
  </si>
  <si>
    <t>EGYPTIAN PEDIATRIC ASSOCIATION GAZETTE</t>
  </si>
  <si>
    <t>[Pal, Amitava; Mukhopadhyay, Rupanjan] City Coll, Dept Physiol, 102-1 Raja Rammohan Sarani, Kolkata 700009, W Bengal, India; [Pal, Amitava; Dalui, Rishna] Panskura Banamali Coll, Dept Physiol, Purba Midnapore, W Bengal, India; [Manna, Sourav] Natl Med Coll, Dept Physiol, Birgunj, Parsa, Nepal; [Dhara, Prakash C.] Vidyasagar Univ, Dept Human Physiol, Midnapore, W Bengal, India</t>
  </si>
  <si>
    <t>Pal, A (corresponding author), City Coll, Dept Physiol, 102-1 Raja Rammohan Sarani, Kolkata 700009, W Bengal, India.;Pal, A (corresponding author), Panskura Banamali Coll, Dept Physiol, Purba Midnapore, W Bengal, India.</t>
  </si>
  <si>
    <t>1110-6638</t>
  </si>
  <si>
    <t>2090-9942</t>
  </si>
  <si>
    <t>EGYPT PEDIATR ASSO</t>
  </si>
  <si>
    <t>EGYPT. PEDIATR. ASSOC. GAZ.</t>
  </si>
  <si>
    <t>10.1186/s43054-021-00087-7</t>
  </si>
  <si>
    <t>Al Mamon, Abdulla; Dubey, Vipin Chandra; Bamba, Kazuharu</t>
  </si>
  <si>
    <t>Statefinder and Om Diagnostics for New Generalized Chaplygin Gas Model</t>
  </si>
  <si>
    <t>UNIVERSE</t>
  </si>
  <si>
    <t>[Al Mamon, Abdulla] Vidyasagar Univ, Dept Phys, Vivekananda Satavarshiki Mahavidyalaya, Manikpara 721513, India; [Dubey, Vipin Chandra] Jaypee Inst Informat Technol, Dept Math, Noida 201309, India; [Bamba, Kazuharu] Fukushima Univ, Fac Symbiot Syst Sci, Div Human Support Syst, Fukushima 9601296, Japan</t>
  </si>
  <si>
    <t>Vidyasagar University; Jaypee Institute of Information Technology (JIIT); Fukushima University</t>
  </si>
  <si>
    <t>Bamba, K (corresponding author), Fukushima Univ, Fac Symbiot Syst Sci, Div Human Support Syst, Fukushima 9601296, Japan.</t>
  </si>
  <si>
    <t>Gross-peteranlage 5, CH-4052 BASEL, SWITZERLAND</t>
  </si>
  <si>
    <t>2218-1997</t>
  </si>
  <si>
    <t>UNIVERSE-BASEL</t>
  </si>
  <si>
    <t>Universe</t>
  </si>
  <si>
    <t>10.3390/universe7100362</t>
  </si>
  <si>
    <t>Theoretical evaluation of calibration factor for CR-39 track detector for alpha radioactivity measurement in natural water</t>
  </si>
  <si>
    <t>RADIATION PHYSICS AND CHEMISTRY</t>
  </si>
  <si>
    <t>[Das, Biswajit] Vidyasagar Univ, Dept Phys, Paschim Medinipur 721102, W Bengal, India; [Das, Biswajit; Deb, Argha] Jadavpur Univ, Sch Studies Environm Radiat &amp; Archaeol Sci, Kolkata 700032, India; [Deb, Argha] Jadavpur Univ, Dept Phys, Kolkata 700032, W Bengal, India</t>
  </si>
  <si>
    <t>Das, B (corresponding author), Vidyasagar Univ, Dept Phys, Paschim Medinipur 721102, W Bengal, India.</t>
  </si>
  <si>
    <t>0969-806X</t>
  </si>
  <si>
    <t>1879-0895</t>
  </si>
  <si>
    <t>RADIAT PHYS CHEM</t>
  </si>
  <si>
    <t>Radiat. Phys. Chem.</t>
  </si>
  <si>
    <t>10.1016/j.radphyschem.2021.109511</t>
  </si>
  <si>
    <t>Chemistry, Physical; Nuclear Science &amp; Technology; Physics, Atomic, Molecular &amp; Chemical</t>
  </si>
  <si>
    <t>Chemistry; Nuclear Science &amp; Technology; Physics</t>
  </si>
  <si>
    <t>Das, Soumen Kumar; Pervin, Magfura; Roy, Sankar Kumar; Weber, Gerhard Wilhelm</t>
  </si>
  <si>
    <t>Multi-objective solid transportation-location problem with variable carbon emission in inventory management: a hybrid approach</t>
  </si>
  <si>
    <t>[Das, Soumen Kumar; Pervin, Magfura; Roy, Sankar Kumar] Vidyasagar Univ, Dept Appl Math Oceanol &amp; Comp Programming, Midnapore 721102, W Bengal, India; [Weber, Gerhard Wilhelm] Poznan Univ Tech, Fac Engn Management, Ul Strzelecka 11, PL-60965 Poznan, Poland; [Weber, Gerhard Wilhelm] Middle East Tech Univ, Inst Appl Math, TR-06800 Ankara, Turkey</t>
  </si>
  <si>
    <t>10.1007/s10479-020-03809-z</t>
  </si>
  <si>
    <t>Ghosh, Kuntal; Adak, Atanu; Halder, Suman K.; Mondal, Keshab C.</t>
  </si>
  <si>
    <t>Physicochemical Characteristics and Lactic Acid Bacterial Diversity of an Ethnic Rice Fermented Mild Alcoholic Beverage, Haria</t>
  </si>
  <si>
    <t>[Ghosh, Kuntal] Midnapore City Coll, Dept Biol Sci, Midnapore, India; [Adak, Atanu] Inst Adv Study Sci &amp; Technol, Life Sci Div, Mol Biol &amp; Microbial Biotechnol, Gauhati, India; [Halder, Suman K.; Mondal, Keshab C.] Vidyasagar Univ, Dept Microbiol, Midnapore, India</t>
  </si>
  <si>
    <t>Department of Science &amp; Technology (India); Institute of Advanced Study in Science &amp; Technology (IASST); Vidyasagar University</t>
  </si>
  <si>
    <t>Mondal, KC (corresponding author), Vidyasagar Univ, Dept Microbiol, Midnapore, India.</t>
  </si>
  <si>
    <t>10.3389/fsufs.2021.680738</t>
  </si>
  <si>
    <t>Das, Ramesh Chandra; Ivaldi, Enrico</t>
  </si>
  <si>
    <t>Is Pollution a Cost to Health? Theoretical and Empirical Inquiry for the World's Leading Polluting Economies</t>
  </si>
  <si>
    <t>INTERNATIONAL JOURNAL OF ENVIRONMENTAL RESEARCH AND PUBLIC HEALTH</t>
  </si>
  <si>
    <t>[Das, Ramesh Chandra] Vidyasagar Univ, Dept Econ, Midnapore 721102, W Bengal, India; [Ivaldi, Enrico] Univ Genoa, Dept Polit Sci, I-16125 Genoa, Italy</t>
  </si>
  <si>
    <t>Ivaldi, E (corresponding author), Univ Genoa, Dept Polit Sci, I-16125 Genoa, Italy.</t>
  </si>
  <si>
    <t>1660-4601</t>
  </si>
  <si>
    <t>INT J ENV RES PUB HE</t>
  </si>
  <si>
    <t>Int. J. Environ. Res. Public Health</t>
  </si>
  <si>
    <t>10.3390/ijerph18126624</t>
  </si>
  <si>
    <t>Statistical data analysis of risk factor associated with mortality rate by COVID-19 pandemic in India</t>
  </si>
  <si>
    <t>[Halder, Bijay; Bandyopadhyay, Jatisankar] Vidyasagar Univ, Dept Remote Sensing &amp; GIS, Midnapore, India; [Bandyopadhyay, Jatisankar] Vidyasagar Univ, Ctr Environm Studies, Midnapore, India; [Banik, Papiya] Calcutta Univ, Dept Geog, Kolkata, India</t>
  </si>
  <si>
    <t>10.1007/s40808-021-01118-3</t>
  </si>
  <si>
    <t>COVID-19 pandemic: a health challenge for commoners during the first unlock phase in India</t>
  </si>
  <si>
    <t>JOURNAL OF PUBLIC HEALTH-HEIDELBERG</t>
  </si>
  <si>
    <t>2198-1833</t>
  </si>
  <si>
    <t>1613-2238</t>
  </si>
  <si>
    <t>J PUBLIC HEALTH-HEID</t>
  </si>
  <si>
    <t>J. Public Health-Heidelberg</t>
  </si>
  <si>
    <t>10.1007/s10389-021-01512-2</t>
  </si>
  <si>
    <t>BACK-ORDERED INVENTORY MODEL WITH INFLATION IN A CLOUDY-FUZZY ENVIRONMENT</t>
  </si>
  <si>
    <t>[Barman, Haripriya; Pervin, Magfura; Roy, Sankar Kumar] Vidyasagar Univ, Dept Appl Math Oceanol &amp; Comp Programming, Midnapore 721102, W Bengal, India; [Weber, Gerhard-Wilhelm] Poznan Univ Tech, Fac Engn Management, Chair Mkt &amp; Econ Engn, Ul Strzelecka 11, PL-60965 Poznan, Poland; [Weber, Gerhard-Wilhelm] Middle East Tech Univ, Inst Appl Math, TR-06800 Ankara, Turkey</t>
  </si>
  <si>
    <t>10.3934/jimo.2020052</t>
  </si>
  <si>
    <t>Das, Nabarun Chandra; Patra, Ritwik; Sen Gupta, Parth Sarthi; Ghosh, Pratik; Bhattacharya, Manojit; Rana, Malay Kumar; Mukherjee, Suprabhat</t>
  </si>
  <si>
    <t>Designing of a novel multi-epitope peptide based vaccine against Brugia malayi: An in silico approach</t>
  </si>
  <si>
    <t>[Das, Nabarun Chandra; Patra, Ritwik; Mukherjee, Suprabhat] Kazi Nazrul Univ, Dept Anim Sci, Integrat Biochem &amp; Immunol Lab, Asansol 713340, W Bengal, India; [Sen Gupta, Parth Sarthi; Rana, Malay Kumar] Indian Inst Sci Educ &amp; Res IISER, Dept Chem Sci, Berhampur 760010, Odisha, India; [Ghosh, Pratik] Vidyasagar Univ, Dept Zool, Midnapore 721102, W Bengal, India; [Bhattacharya, Manojit] Fakir Mohan Univ, Dept Zool, Balasore 756020, Odisha, India</t>
  </si>
  <si>
    <t>Indian Institute of Science Education &amp; Research (IISER) - Berhampur; Vidyasagar University; Fakir Mohan University</t>
  </si>
  <si>
    <t>Mukherjee, S (corresponding author), Kazi Nazrul Univ, Dept Anim Sci, Integrat Biochem &amp; Immunol Lab, Asansol 713340, W Bengal, India.;Bhattacharya, M (corresponding author), Fakir Mohan Univ, Dept Zool, Balasore 756020, Odisha, India.</t>
  </si>
  <si>
    <t>10.1016/j.meegid.2020.104633</t>
  </si>
  <si>
    <t>Jana, Chiranjibe; Muhiuddin, G.; Pal, Madhumangal; Al-Kadi, D.</t>
  </si>
  <si>
    <t>RETRACTED: Intuitionistic Fuzzy Dombi Hybrid Decision-Making Method and Their Applications to Enterprise Financial Performance Evaluation (Retracted Article)</t>
  </si>
  <si>
    <t>MATHEMATICAL PROBLEMS IN ENGINEERING</t>
  </si>
  <si>
    <t>[Jana, Chiranjibe; Pal, Madhumangal] Vidyasagar Univ, Dept Appl Math Oceanol &amp; Comp Programming, Midnapore 721102, India; [Muhiuddin, G.] Univ Tabuk, Dept Math, Tabuk 71491, Saudi Arabia; [Al-Kadi, D.] Taif Univ, Coll Sci, Dept Math &amp; Stat, POB 11099, At Taif 21944, Saudi Arabia</t>
  </si>
  <si>
    <t>Vidyasagar University; University of Tabuk; Taif University</t>
  </si>
  <si>
    <t>Muhiuddin, G (corresponding author), Univ Tabuk, Dept Math, Tabuk 71491, Saudi Arabia.</t>
  </si>
  <si>
    <t>1024-123X</t>
  </si>
  <si>
    <t>1563-5147</t>
  </si>
  <si>
    <t>MATH PROBL ENG</t>
  </si>
  <si>
    <t>Math. Probl. Eng.</t>
  </si>
  <si>
    <t>10.1155/2021/3218133</t>
  </si>
  <si>
    <t>Devnath, Sudeshna; Giri, Pravash Kumar; (Mondal), Seema Sarkar; Maiti, Manoranjan</t>
  </si>
  <si>
    <t>Multi-item two-stage fixed-charge 4DTP with hybrid random type-2 fuzzy variable</t>
  </si>
  <si>
    <t>[Devnath, Sudeshna; (Mondal), Seema Sarkar] Natl Inst Technol Durgapur, Dept Math, Durgapur 713209, India; [Giri, Pravash Kumar] Govt Gen Degree Coll, Dept Math, Dantan 2, Kashmuli 721445, India; [Maiti, Manoranjan] Vidyasagar Univ, Dept Appl Math Oceanol &amp; Comp Programming, Midnapore 721102, India</t>
  </si>
  <si>
    <t>Devnath, S (corresponding author), Natl Inst Technol Durgapur, Dept Math, Durgapur 713209, India.</t>
  </si>
  <si>
    <t>10.1007/s00500-021-06371-3</t>
  </si>
  <si>
    <t>Majumdar, Sushobhan; Kose, Mustafa; Chatterjee, Uday</t>
  </si>
  <si>
    <t>Gully Erosion Mapping by Multi-criteria Decision Analysis Techniques and Geoinformatics in Adana Province, Turkey</t>
  </si>
  <si>
    <t>EARTH SYSTEMS AND ENVIRONMENT</t>
  </si>
  <si>
    <t>[Majumdar, Sushobhan] Jadavpur Univ, Dept Geog, Kolkata 700032, W Bengal, India; [Kose, Mustafa] Afyon Kocatepe Univ, Fac Sci &amp; Literature, Dept Geog, TR-03200 Afyon, Turkey; [Chatterjee, Uday] Vidyasagar Univ, Bhatter Coll, Dept Geog, Kharagpur 721101, W Bengal, India</t>
  </si>
  <si>
    <t>Jadavpur University; Afyon Kocatepe University; Vidyasagar University</t>
  </si>
  <si>
    <t>Chatterjee, U (corresponding author), Vidyasagar Univ, Bhatter Coll, Dept Geog, Kharagpur 721101, W Bengal, India.</t>
  </si>
  <si>
    <t>2509-9426</t>
  </si>
  <si>
    <t>2509-9434</t>
  </si>
  <si>
    <t>EARTH SYST ENVIRON</t>
  </si>
  <si>
    <t>Earth Syst. Environ.</t>
  </si>
  <si>
    <t>10.1007/s41748-020-00198-y</t>
  </si>
  <si>
    <t>Devnath, Sudeshna; Giri, Pravash Kumar; Sarkar Mondal, Seema; Maiti, Manoranjan</t>
  </si>
  <si>
    <t>Fully fuzzy multi-item two-stage fixed charge four-dimensional transportation problems with flexible constraints (Nov, 10.1007/s41066-021-00295-x, 2021)</t>
  </si>
  <si>
    <t>[Devnath, Sudeshna; Sarkar Mondal, Seema] Natl Inst Technol Durgapur, Dept Math, Durgapur 713209, India; [Giri, Pravash Kumar] Govt Gen Degree Coll, Dept Math, Dantan 2, Kashmuli 721445, India; [Maiti, Manoranjan] Vidyasagar Univ, Dept Appl Math Oceanol &amp; Comp Programming, Midnapore 721102, India</t>
  </si>
  <si>
    <t>10.1007/s41066-021-00303-0</t>
  </si>
  <si>
    <t>Patra, Apu; Puschmann, Horst; Manna, Subal Chandra</t>
  </si>
  <si>
    <t>Bidentate Schiff base coordinated square planer nickel(II) complexes: Synthesis, crystal structure, DFT/TD-DFT calculation and DNA/protein binding</t>
  </si>
  <si>
    <t>[Patra, Apu; Manna, Subal Chandra] Vidyasagar Univ, Dept Chem, Midnapore 721102, W Bengal, India; [Puschmann, Horst] Univ Durham, Dept Chem, South Rd, Durham DH1 3LE, England</t>
  </si>
  <si>
    <t>10.1016/j.poly.2021.115146</t>
  </si>
  <si>
    <t>Bauri, Sutapa; Sen, Madhab Kumar; Das, Renuka; Mondal, Sunil Kanti</t>
  </si>
  <si>
    <t>In-silico investigation of the efficiency of microbial dioxygenases in degradation of sulfonylurea group herbicides</t>
  </si>
  <si>
    <t>BIOREMEDIATION JOURNAL</t>
  </si>
  <si>
    <t>[Bauri, Sutapa] Vidyasagar Univ, Dept Microbiol, Midnapore, W Bengal, India; [Sen, Madhab Kumar] Czech Univ Life Sci Prague, Dept Agroecol &amp; Crop Prod, Fac Agrobiol Food &amp; Nat Resources, Suchdol, Czech Republic; [Das, Renuka; Mondal, Sunil Kanti] Univ Burdwan, Dept Biotechnol, Burdwan 713104, W Bengal, India</t>
  </si>
  <si>
    <t>Vidyasagar University; Czech University of Life Sciences Prague; University of Burdwan</t>
  </si>
  <si>
    <t>Mondal, SK (corresponding author), Univ Burdwan, Dept Biotechnol, Burdwan 713104, W Bengal, India.</t>
  </si>
  <si>
    <t>1088-9868</t>
  </si>
  <si>
    <t>1547-6529</t>
  </si>
  <si>
    <t>BIOREMEDIAT J</t>
  </si>
  <si>
    <t>Bioremediat. J.</t>
  </si>
  <si>
    <t>10.1080/10889868.2021.1900054</t>
  </si>
  <si>
    <t>Devnath, Sudeshna; Giri, Pravash Kumar; Mondal, Seema Sarkar; Maiti, Manoranjan</t>
  </si>
  <si>
    <t>Multi-item two-stage fixed-charge 4DTP with hybrid random type-2 fuzzy variable (vol 25, pg 15083, 2021)</t>
  </si>
  <si>
    <t>[Devnath, Sudeshna; Mondal, Seema Sarkar] Natl Inst Technol Durgapur, Dept Math, Durgapur 713209, India; [Giri, Pravash Kumar] Govt Gen Degree Coll, Dept Math, Dantan 2, Kashmuli 721445, India; [Maiti, Manoranjan] Vidyasagar Univ, Dept Appl Math Oceanol &amp; Comp Programming, Midnapore 721102, India</t>
  </si>
  <si>
    <t>10.1007/s00500-021-06597-1</t>
  </si>
  <si>
    <t>Das Roy, Monami; Sarker, Bhaba R.</t>
  </si>
  <si>
    <t>Optimizing a supply chain problem with nonlinear penalty costs for early and late delivery under generalized lead time distribution</t>
  </si>
  <si>
    <t>[Das Roy, Monami] Vidyasagar Univ, Haldia Govt Coll, Dept Math, Purba 721657, Medinipur, India; [Sarker, Bhaba R.] Louisiana State Univ, Dept Mech &amp; Ind Engn, Baton Rouge, LA 70803 USA</t>
  </si>
  <si>
    <t>Vidyasagar University; Louisiana State University System; Louisiana State University</t>
  </si>
  <si>
    <t>Sarker, BR (corresponding author), Louisiana State Univ, Dept Mech &amp; Ind Engn, Baton Rouge, LA 70803 USA.</t>
  </si>
  <si>
    <t>10.1016/j.cie.2021.107536</t>
  </si>
  <si>
    <t>Koziel, Slawomir; Chakraborty, Raja; Bose, Kaushik; Ignasiak, Zofia; Gomula, Aleksandra; Nowak-Szczepanska, Natalia</t>
  </si>
  <si>
    <t>The effect of a natural disaster on handgrip strength in prepubertal Indian children exposed to a severe cyclone during the prenatal and early postnatal growth</t>
  </si>
  <si>
    <t>[Koziel, Slawomir; Gomula, Aleksandra; Nowak-Szczepanska, Natalia] Polish Acad Sci, Ludwik Hirszfeld Inst Immunol &amp; Expt Therapy, Dept Anthropol, Wroclaw, Poland; [Chakraborty, Raja] Dinabandhu Mahavidyalaya, Dept Anthropol, Bongaon, W Bengal, India; [Bose, Kaushik] Vidyasagar Univ, Dept Anthropol, Midnapore, W Bengal, India; [Ignasiak, Zofia] Univ Sch Phys Educ Wroclaw, Dept Biostruct, Wroclaw, Poland</t>
  </si>
  <si>
    <t>10.1038/s41598-021-86845-4</t>
  </si>
  <si>
    <t>Two new records of the subfamily Luciolinae Lacordaire, 1857 (Coleoptera: Lampyridae) with a checklist of genus Abscondita from India</t>
  </si>
  <si>
    <t>[Ghosh, Srinjana] Bethune Coll, Dept Zool, 181 Bidhan Sarani, Kolkata 700006, W Bengal, India; [Sarkar, Subhankar Kumar] Univ Kalyani, Dept Zool, Entomol Lab, Kalyani 741235, W Bengal, India; [Chakraborty, Susanta Kumar] Vidyasagar Univ, Dept Zool, Midnapore 721102, W Bengal, India</t>
  </si>
  <si>
    <t>Ghosh, S (corresponding author), Bethune Coll, Dept Zool, 181 Bidhan Sarani, Kolkata 700006, W Bengal, India.</t>
  </si>
  <si>
    <t>10.1016/j.japb.2020.10.004</t>
  </si>
  <si>
    <t>Dutta, Bikash; Das, Manas; Roy, Utpal; Das, Sutapa; Rath, Sutapa</t>
  </si>
  <si>
    <t>Spatial analysis and modelling for primary healthcare site selection in Midnapore town, West Bengal</t>
  </si>
  <si>
    <t>[Dutta, Bikash] Nistarini Coll, Dept Geog, Purulia 723101, W Bengal, India; [Das, Manas] Vidyasagar Univ, Dept Remote Sensing &amp; GIS, Midnapore 721102, W Bengal, India; [Roy, Utpal] Univ Calcutta, Dept Geog, Kolkata 700073, W Bengal, India; [Das, Sutapa] Vidyasagar Univ, Dept Econ, Midnapore 721102, W Bengal, India; [Rath, Sutapa] Vidyasagar Univ, Dept Geog, Midnapore 721102, W Bengal, India</t>
  </si>
  <si>
    <t>Dutta, B (corresponding author), Nistarini Coll, Dept Geog, Purulia 723101, W Bengal, India.;Roy, U (corresponding author), Univ Calcutta, Dept Geog, Kolkata 700073, W Bengal, India.</t>
  </si>
  <si>
    <t>10.1007/s10708-021-10528-w</t>
  </si>
  <si>
    <t>Usta, David Francisco Bustos; Teymouri, Maryam; Chatterjee, Uday; Koley, Bappaditya</t>
  </si>
  <si>
    <t>Temperature projections over Iran during the twenty-first century using CMIP5 models</t>
  </si>
  <si>
    <t>[Chatterjee, Uday] Vidyasagar Univ, Dept Geog, Bhatter Coll, Paschim Medinipur 721426, W Bengal, India; [Usta, David Francisco Bustos] Univ Norte, Barranquilla, Colombia; [Teymouri, Maryam] Univ Mohaghegh Ardabili, Ardebil, Iran; [Koley, Bappaditya] Bankim Sardar Coll, Dept Geog, South 24 Parganas, Tangrakhali 743329, W Bengal, India</t>
  </si>
  <si>
    <t>Vidyasagar University; Universidad del Norte Colombia; University of Mohaghegh Ardabili</t>
  </si>
  <si>
    <t>Chatterjee, U (corresponding author), Vidyasagar Univ, Dept Geog, Bhatter Coll, Paschim Medinipur 721426, W Bengal, India.</t>
  </si>
  <si>
    <t>10.1007/s40808-021-01115-6</t>
  </si>
  <si>
    <t>Satapathy, Sonali; Soren, Jyoti Prakash; Mondal, Keshab Chandra; Srivastava, Shweta; Pradhan, Chinmay; Sahoo, Santi Lata; Thatoi, Hrudayanath; Rout, Jyoti Ranjan</t>
  </si>
  <si>
    <t>Industrially relevant pectinase production from Aspergillus parvisclerotigenus KX928754 using apple pomace as the promising substrate</t>
  </si>
  <si>
    <t>JOURNAL OF TAIBAH UNIVERSITY FOR SCIENCE</t>
  </si>
  <si>
    <t>[Satapathy, Sonali; Pradhan, Chinmay; Sahoo, Santi Lata] Utkal Univ, Post Grad Dept Bot, Microbiol Res Lab, Bhubaneswar 751004, Odisha, India; [Soren, Jyoti Prakash; Mondal, Keshab Chandra] Vidyasagar Univ, Dept Microbiol, Midinapore, India; [Srivastava, Shweta] Govt India, Fragrance &amp; Flavour Dev Ctr, Minist MSME, Kannauj, India; [Thatoi, Hrudayanath] North Orissa Univ, Dept Biotechnol, Baripada, India; [Rout, Jyoti Ranjan] AIPH Univ, Sch Biol Sci, Bhubaneswar 752101, India</t>
  </si>
  <si>
    <t>Utkal University; Vidyasagar University</t>
  </si>
  <si>
    <t>Sahoo, SL (corresponding author), Utkal Univ, Post Grad Dept Bot, Microbiol Res Lab, Bhubaneswar 751004, Odisha, India.;Rout, JR (corresponding author), AIPH Univ, Sch Biol Sci, Bhubaneswar 752101, India.</t>
  </si>
  <si>
    <t>1658-3655</t>
  </si>
  <si>
    <t>J TAIBAH UNIV SCI</t>
  </si>
  <si>
    <t>J. Taibah Univ. Sci.</t>
  </si>
  <si>
    <t>10.1080/16583655.2021.1978833</t>
  </si>
  <si>
    <t>Sustainability of Urbanization, Non-Agricultural Output and Air Pollution in the World's Top 20 Polluting Countries</t>
  </si>
  <si>
    <t>DATA</t>
  </si>
  <si>
    <t>[Das, Ramesh Chandra] Vidyasagar Univ, Dept Econ, Midnapore 721102, India; [Chatterjee, Tonmoy] Ananda Chandra Coll, Dept Econ, Jalpaiguri 735101, India; [Ivaldi, Enrico] Univ Genoa, Dept Polit Sci, I-16125 Genoa, Italy</t>
  </si>
  <si>
    <t>2306-5729</t>
  </si>
  <si>
    <t>DATA-BASEL</t>
  </si>
  <si>
    <t>Data</t>
  </si>
  <si>
    <t>10.3390/data6060065</t>
  </si>
  <si>
    <t>Computer Science, Information Systems; Multidisciplinary Sciences</t>
  </si>
  <si>
    <t>Computer Science; Science &amp; Technology - Other Topics</t>
  </si>
  <si>
    <t>Rani, Seema; Kumar, Rajesh; Acharya, Prasenjit; Maharana, Pyarimohan; Singh, Rajkumar</t>
  </si>
  <si>
    <t>Assessing the spatial distribution of aerosols and air quality over the Ganga River basin during COVID-19 lockdown phase-1</t>
  </si>
  <si>
    <t>[Rani, Seema] Banaras Hindu Univ, Inst Sci, Dept Geog, Varanasi 221005, Uttar Pradesh, India; [Kumar, Rajesh] Sikkim Univ, Sch Human Sci, Dept Geog, Gangtok 737102, Sikkim, India; [Acharya, Prasenjit] Vidyasagar Univ, Dept Geog, Midnapore 721102, W Bengal, India; [Maharana, Pyarimohan] Sri Sri Univ, Fac Sci, Cuttack 754006, Odisha, India; [Singh, Rajkumar] World Agroforestry ICRAF, NASC Complex, New Delhi 110012, India</t>
  </si>
  <si>
    <t>Banaras Hindu University (BHU); Sikkim University; Vidyasagar University</t>
  </si>
  <si>
    <t>Kumar, R (corresponding author), Sikkim Univ, Sch Human Sci, Dept Geog, Gangtok 737102, Sikkim, India.</t>
  </si>
  <si>
    <t>10.1016/j.rsase.2021.100546</t>
  </si>
  <si>
    <t>Kundu, Anindita; Guchhait, Partha; Maiti, Manoranjan; Castillo, Oscar</t>
  </si>
  <si>
    <t>Inventory of a deteriorating green product with preservation technology cost using a hybrid algorithm</t>
  </si>
  <si>
    <t>[Kundu, Anindita] NIT, Dept Math, Mahatma Gandhi Ave, Durgapur 713209, W Bengal, India; [Guchhait, Partha] Dherua AS High Sch, Dept Math, Paschim Medinipur 721102, W Bengal, India; [Maiti, Manoranjan] Vidyasagar Univ, Dept Math, Midnapore 721102, W Bengal, India; [Castillo, Oscar] Tijuana Inst Technol, SNI Level 3, Tijuana, Mexico</t>
  </si>
  <si>
    <t>Kundu, A (corresponding author), NIT, Dept Math, Mahatma Gandhi Ave, Durgapur 713209, W Bengal, India.</t>
  </si>
  <si>
    <t>10.1007/s00500-021-06004-9</t>
  </si>
  <si>
    <t>Mallick, Suraj K.; Pramanik, Malay; Maity, Biswajit; Das, Pritiranjan; Sahana, Mehebub</t>
  </si>
  <si>
    <t>Plastic waste footprint in the context of COVID-19: Reduction challenges and policy recommendations towards sustainable development goals</t>
  </si>
  <si>
    <t>[Mallick, Suraj K.; Maity, Biswajit; Das, Pritiranjan] Vidyasagar Univ, Dept Geog, Midnapore 721102, W Bengal, India; [Pramanik, Malay] Asian Inst Technol AIT, Sch Environm, Dept Dev &amp; Sustainabil, Resources &amp; Dev, P O Box 4,Klong Luang, Pathum Thani 12120, Thailand; [Pramanik, Malay] Tata Inst Social Sci, Jamsetji Tata Sch Disaster Studies, Ctr Geoinformat, Mumbai 400088, Maharashtra, India; [Sahana, Mehebub] Univ Manchester, Sch Environm, Educ Dev, Manchester, Lancs, England</t>
  </si>
  <si>
    <t>Vidyasagar University; Asian Institute of Technology; Tata Institute of Social Sciences; University of Manchester</t>
  </si>
  <si>
    <t>10.1016/j.scitotenv.2021.148951</t>
  </si>
  <si>
    <t>Mongal, Binitendra Naath; Bhattacharya, Sayantani; Mandal, Tarun Kanti; Datta, Jayati; Naskar, Subhendu</t>
  </si>
  <si>
    <t>Synthesis, characterization and photovoltaic studies of 2,2′;6′,2-terpyridine-based ruthenium complexes with phenylamino, anthranyl and furfuryl substitutions at the 4′-position</t>
  </si>
  <si>
    <t>[Mongal, Binitendra Naath; Naskar, Subhendu] Birla Inst Technol, Dept Chem, Ranchi 835215, Jharkhand, India; [Mongal, Binitendra Naath] GD Goenka Univ, Sch Engn &amp; Sci, Sohna, Haryana, India; [Bhattacharya, Sayantani; Datta, Jayati] Heritage Inst Technol, Renewable Energy Res Ctr, Dept Chem, Kolkata 700107, W Bengal, India; [Mandal, Tarun Kanti] Vidyasagar Univ, Fac Councils PG Studies, Medinipur, W Bengal, India</t>
  </si>
  <si>
    <t>Birla Institute of Technology Mesra; GD Goenka University; Heritage Institute of Technology (HITK); Vidyasagar University</t>
  </si>
  <si>
    <t>Naskar, S (corresponding author), Birla Inst Technol, Dept Chem, Ranchi 835215, Jharkhand, India.;Datta, J (corresponding author), Heritage Inst Technol, Renewable Energy Res Ctr, Dept Chem, Kolkata 700107, W Bengal, India.</t>
  </si>
  <si>
    <t>10.1080/00958972.2021.1924368</t>
  </si>
  <si>
    <t>Ali, Sadia Samar; Barman, Haripriya; Kaur, Rajbir; Tomaskova, Hana; Roy, Sankar Kumar</t>
  </si>
  <si>
    <t>Multi-Product Multi Echelon Measurements of Perishable Supply Chain: Fuzzy Non-Linear Programming Approach</t>
  </si>
  <si>
    <t>[Ali, Sadia Samar] King Abdulaziz Univ, Fac Engn, Dept Ind Engn, Jeddah 21589, Saudi Arabia; [Barman, Haripriya; Roy, Sankar Kumar] Vidyasagar Univ, Dept Appl Math Oceanol &amp; Comp Programming, Midnapore 721102, India; [Kaur, Rajbir] Govt Girls Coll, Panchkula 134001, India; [Tomaskova, Hana] Univ Hradec Kralove, Dept Informat Technol, Rokitanskeho 62, Hradec Kralove 50003, Czech Republic</t>
  </si>
  <si>
    <t>King Abdulaziz University; Vidyasagar University; University of Hradec Kralove</t>
  </si>
  <si>
    <t>Ali, SS (corresponding author), King Abdulaziz Univ, Fac Engn, Dept Ind Engn, Jeddah 21589, Saudi Arabia.</t>
  </si>
  <si>
    <t>10.3390/math9172093</t>
  </si>
  <si>
    <t>Gautam, Vibhav; Singh, Archita; Yadav, Sandeep; Singh, Sharmila; Kumar, Pramod; Das, Shabari Sarkar; Sarkar, Ananda K.</t>
  </si>
  <si>
    <t>Conserved LBL1-ta-siRNA and miR165/166-RLD1/2 modules regulate root development in maize</t>
  </si>
  <si>
    <t>[Gautam, Vibhav; Singh, Archita; Yadav, Sandeep; Singh, Sharmila; Kumar, Pramod; Sarkar, Ananda K.] Natl Inst Plant Genome Res, Aruna Asaf Ali Marg, New Delhi 110067, India; [Gautam, Vibhav] Banaras Hindu Univ, Ctr Expt Med &amp; Surg, Inst Med Sci, Varanasi 221005, Uttar Pradesh, India; [Das, Shabari Sarkar] Vidyasagar Univ, Dept Bot &amp; Forestry, Midnapore 721104, WB, India</t>
  </si>
  <si>
    <t>Department of Biotechnology (DBT) India; National Institute of Plant Genome Research (NIPGR); Banaras Hindu University (BHU); Vidyasagar University</t>
  </si>
  <si>
    <t>Sarkar, AK (corresponding author), Natl Inst Plant Genome Res, Aruna Asaf Ali Marg, New Delhi 110067, India.</t>
  </si>
  <si>
    <t>dev190033</t>
  </si>
  <si>
    <t>10.1242/dev.190033</t>
  </si>
  <si>
    <t>Bank, Sarbashri; De, Subrata Kumar; Bankura, Biswabandhu; Maiti, Smarajit; Das, Madhusudan; Khan, Gausal A.</t>
  </si>
  <si>
    <t>ACE/ACE2 balance might be instrumental to explain the certain comorbidities leading to severe COVID-19 cases</t>
  </si>
  <si>
    <t>BIOSCIENCE REPORTS</t>
  </si>
  <si>
    <t>[Bank, Sarbashri] Vidyasagar Univ, Dept Biochem, Medinipur, India; [Bank, Sarbashri] Sinha Inst Med Sci &amp; Technol, Cardiovasc Dis Sect, Kolkata, India; [De, Subrata Kumar] Vidyasagar Univ, Dept Zool, Medinipur, India; [Bankura, Biswabandhu; Das, Madhusudan] Univ Calcutta, Dept Zool, Kolkata, India; [Maiti, Smarajit] OIST, Biochem &amp; Biotechnol, Medinipur, India; [Khan, Gausal A.] Fiji Natl Univ, Fiji Sch Med, Dept Physiol &amp; Physiotherapy, CMNHS, Suva, Fiji</t>
  </si>
  <si>
    <t>Vidyasagar University; Vidyasagar University; University of Calcutta; Fiji National University (FNU)</t>
  </si>
  <si>
    <t>Bank, S (corresponding author), Vidyasagar Univ, Dept Biochem, Medinipur, India.;Bank, S (corresponding author), Sinha Inst Med Sci &amp; Technol, Cardiovasc Dis Sect, Kolkata, India.;De, SK (corresponding author), Vidyasagar Univ, Dept Zool, Medinipur, India.;Das, M (corresponding author), Univ Calcutta, Dept Zool, Kolkata, India.;Maiti, S (corresponding author), OIST, Biochem &amp; Biotechnol, Medinipur, India.</t>
  </si>
  <si>
    <t>PORTLAND PRESS LTD</t>
  </si>
  <si>
    <t>1ST FLR, 10 QUEEN STREET PLACE, LONDON, ENGLAND</t>
  </si>
  <si>
    <t>0144-8463</t>
  </si>
  <si>
    <t>1573-4935</t>
  </si>
  <si>
    <t>BIOSCIENCE REP</t>
  </si>
  <si>
    <t>Biosci. Rep.</t>
  </si>
  <si>
    <t>BSR20202014</t>
  </si>
  <si>
    <t>10.1042/BSR20202014</t>
  </si>
  <si>
    <t>Ghosh, Shyamali; Roy, Sankar Kumar; Ebrahimnejad, Ali; Verdegay, Jose Luis</t>
  </si>
  <si>
    <t>Multi-objective fully intuitionistic fuzzy fixed-charge solid transportation problem</t>
  </si>
  <si>
    <t>[Ghosh, Shyamali; Roy, Sankar Kumar] Vidyasagar Univ, Dept Appl Math Oceanol &amp; Comp Programming, Midnapore 721102, W Bengal, India; [Ebrahimnejad, Ali] Islamic Azad Univ, Dept Math, Qaemshahr Branch, Qaemshahr, Iran; [Verdegay, Jose Luis] Univ Granada, Dept Comp Sci &amp; Artificial Intelligence, Granada, Spain</t>
  </si>
  <si>
    <t>Vidyasagar University; Islamic Azad University; University of Granada</t>
  </si>
  <si>
    <t>10.1007/s40747-020-00251-3</t>
  </si>
  <si>
    <t>Poddar, Devastotra; de Jonge, Martin D.; Howard, Daryl L.; Palmer, Jon; Ainscough, Eric W.; Singh, Harjinder; Haverkamp, Richard G.; Jameson, Geoffrey B.</t>
  </si>
  <si>
    <t>Manganese accumulation in probiotic Lactobacillus paracasei ATCC 55544 analyzed by synchrotron X-ray fluorescence microscopy and impact of accumulation on the bacterial viability following encapsulation</t>
  </si>
  <si>
    <t>FOOD RESEARCH INTERNATIONAL</t>
  </si>
  <si>
    <t>[Poddar, Devastotra] Vidyasagar Univ, Dept Nutr, Belda Coll, Paschim Medinipur, W Bengal, India; [de Jonge, Martin D.; Howard, Daryl L.] ANSTO, Australian Synchrotron, Lucas Heights, NSW, Australia; [Palmer, Jon; Haverkamp, Richard G.] Massey Univ, Sch Food &amp; Adv Technol, Palmerston North, New Zealand; [Ainscough, Eric W.; Jameson, Geoffrey B.] Massey Univ, Sch Fundamental Sci, Palmerston North, New Zealand; [Poddar, Devastotra; Singh, Harjinder; Jameson, Geoffrey B.] Massey Univ, Riddet Inst, Palmerston North, New Zealand</t>
  </si>
  <si>
    <t>Vidyasagar University; Australian Nuclear Science &amp; Technology Organisation; Massey University; Massey University; Massey University</t>
  </si>
  <si>
    <t>Poddar, D (corresponding author), Vidyasagar Univ, Dept Nutr, Belda Coll, Paschim Medinipur, W Bengal, India.;Jameson, GB (corresponding author), Massey Univ, Riddet Inst, Palmerston North, New Zealand.</t>
  </si>
  <si>
    <t>0963-9969</t>
  </si>
  <si>
    <t>1873-7145</t>
  </si>
  <si>
    <t>FOOD RES INT</t>
  </si>
  <si>
    <t>Food Res. Int.</t>
  </si>
  <si>
    <t>10.1016/j.foodres.2021.110528</t>
  </si>
  <si>
    <t>Amanathulla, Sk; Muhiuddin, G.; Al-Kadi, D.; Pal, Madhumangal</t>
  </si>
  <si>
    <t>Distance Two Surjective Labelling of Paths and Interval Graphs</t>
  </si>
  <si>
    <t>[Amanathulla, Sk] Raghunathpur Coll, Dept Math, Raghunathpur 723101, India; [Muhiuddin, G.] Univ Tabuk, Dept Math, Tabuk 71491, Saudi Arabia; [Al-Kadi, D.] Taif Univ, Coll Sci, Dept Math &amp; Stat, POB 11099, At Taif 21944, Saudi Arabia; [Pal, Madhumangal] Vidyasagar Univ, Dept Appl Math Oceanol &amp; Comp Programming, Midnapore 721102, India</t>
  </si>
  <si>
    <t>University of Tabuk; Taif University; Vidyasagar University</t>
  </si>
  <si>
    <t>10.1155/2021/9958077</t>
  </si>
  <si>
    <t>Paul, Aparup; Zangrando, Ennio; Bertolasi, Valerio; Manna, Subal Chandra</t>
  </si>
  <si>
    <t>Cu(II)-Na(I) heterometallic coordination compounds as photocatalyst for degradation of methylene blue</t>
  </si>
  <si>
    <t>[Paul, Aparup; Manna, Subal Chandra] Vidyasagar Univ, Dept Chem, Midnapore 721102, W Bengal, India; [Zangrando, Ennio] Univ Trieste, Dept Chem &amp; Pharmaceut Sci, I-34127 Trieste, Italy; [Bertolasi, Valerio] Univ Ferrara, Ctr Strutturist Diffrattometr, Dipartimento Sci Chim &amp; Farmaceut, Via L Borsari 46, I-44100 Ferrara, Italy</t>
  </si>
  <si>
    <t>Vidyasagar University; University of Trieste; University of Ferrara</t>
  </si>
  <si>
    <t>10.1016/j.ica.2021.120346</t>
  </si>
  <si>
    <t>Mukherjee, Anupam; Barma, Partha Sarathi; Dutta, Joydeep; Panigrahi, Goutam; Kar, Samarjit; Maiti, Manoranjan</t>
  </si>
  <si>
    <t>A multi-objective antlion optimizer for the ring tree problem with secondary sub-depots</t>
  </si>
  <si>
    <t>[Mukherjee, Anupam; Panigrahi, Goutam; Kar, Samarjit] Natl Inst Technol Durgapur, Dept Math, Durgapur 713209, W Bengal, India; [Barma, Partha Sarathi] Dept Comp Sci &amp; Engn, NSHM Knowledge Campus, Durgapur 713212, W Bengal, India; [Dutta, Joydeep] Kazi Nazrul Univ, Dept Comp Sci, Asansol 713340, W Bengal, India; [Maiti, Manoranjan] Vidyasagar Univ, Dept Appl Math, Midnapore 721102, W Bengal, India</t>
  </si>
  <si>
    <t>Mukherjee, A (corresponding author), Natl Inst Technol Durgapur, Dept Math, Durgapur 713209, W Bengal, India.</t>
  </si>
  <si>
    <t>10.1007/s12351-021-00623-8</t>
  </si>
  <si>
    <t>Bhunia, Amit Kumar; Pradhan, Sitangshu Sekhar; Bhunia, Khokan; Pradhan, Ashok Kumar; Saha, Satyajit</t>
  </si>
  <si>
    <t>Study of the optical properties and frequency-dependent electrical modulus spectrum to the analysis of electric relaxation and conductivity effect in zinc oxide nanoparticles</t>
  </si>
  <si>
    <t>[Bhunia, Amit Kumar] Govt Gen Degree Coll Gopiballavpur II, Dept Phys, Beliaberah 721517, Jhargram, India; [Pradhan, Sitangshu Sekhar] Midnapore Coll Autonomous, Dept Phys, Midnapore 721101, India; [Bhunia, Khokan] Univ Burdwan, Dept Phys, Burdwan 713104, W Bengal, India; [Pradhan, Ashok Kumar; Saha, Satyajit] Vidyasagar Univ, Dept Phys, Midnapore 721102, India</t>
  </si>
  <si>
    <t>Bhunia, AK (corresponding author), Govt Gen Degree Coll Gopiballavpur II, Dept Phys, Beliaberah 721517, Jhargram, India.</t>
  </si>
  <si>
    <t>10.1007/s10854-021-06742-4</t>
  </si>
  <si>
    <t>Kundu, Ramprasad; Dutta, Dibyendu; Nanda, Manoj Kumar; Chakrabarty, Abhisek</t>
  </si>
  <si>
    <t>Near Real Time Monitoring of Potato Late Blight Disease Severity using Field Based Hyperspectral Observation</t>
  </si>
  <si>
    <t>SMART AGRICULTURAL TECHNOLOGY</t>
  </si>
  <si>
    <t>[Kundu, Ramprasad; Chakrabarty, Abhisek] Vidyasagar Univ, Midnapore 721101, West Bengal, India; [Dutta, Dibyendu] ISRO, Reg Remote Sensing Ctr East, NRSC, Kolkata 700156, West Bengal, India; [Nanda, Manoj Kumar] Bidhan Chandra Krishi Viswavidyalaya, Mohanpur 741252, West Bengal, India</t>
  </si>
  <si>
    <t>Vidyasagar University; Department of Space (DoS), Government of India; Indian Space Research Organisation (ISRO); National Remote Sensing Centre (NRSC); Bidhan Chandra Agricultural University</t>
  </si>
  <si>
    <t>Kundu, R (corresponding author), Vidyasagar Univ, Midnapore 721101, West Bengal, India.</t>
  </si>
  <si>
    <t>2772-3755</t>
  </si>
  <si>
    <t>SMART AGR TECHNOL</t>
  </si>
  <si>
    <t>Smart Agric. Technol.</t>
  </si>
  <si>
    <t>10.1016/j.atech.2021.100019</t>
  </si>
  <si>
    <t>Agricultural Engineering; Agriculture, Multidisciplinary; Agronomy</t>
  </si>
  <si>
    <t>Choudhury, Animesh; Yadav, Avinash Chand; Bonafoni, Stefania</t>
  </si>
  <si>
    <t>A Response of Snow Cover to the Climate in the Northwest Himalaya (NWH) Using Satellite Products</t>
  </si>
  <si>
    <t>REMOTE SENSING</t>
  </si>
  <si>
    <t>[Choudhury, Animesh] Vidyasagar Univ, Dept Remote Sensing &amp; GIS, Midnapore 721102, W Bengal, India; [Yadav, Avinash Chand] Indian Inst Trop Meteorol, Pune 411008, Maharashtra, India; [Bonafoni, Stefania] Univ Perugia, Dept Engn, Via G Duranti 93, I-06125 Perugia, Italy</t>
  </si>
  <si>
    <t>Vidyasagar University; Ministry of Earth Sciences (MoES) - India; Indian Institute of Tropical Meteorology (IITM); University of Perugia</t>
  </si>
  <si>
    <t>Yadav, AC (corresponding author), Indian Inst Trop Meteorol, Pune 411008, Maharashtra, India.</t>
  </si>
  <si>
    <t>2072-4292</t>
  </si>
  <si>
    <t>REMOTE SENS-BASEL</t>
  </si>
  <si>
    <t>Remote Sens.</t>
  </si>
  <si>
    <t>10.3390/rs13040655</t>
  </si>
  <si>
    <t>Chakraborty, Avishek; Maity, Suman; Jain, Shalini; Mondal, Sankar Prasad; Alam, Shariful</t>
  </si>
  <si>
    <t>Hexagonal fuzzy number and its distinctive representation, ranking, defuzzification technique and application in production inventory management problem</t>
  </si>
  <si>
    <t>[Chakraborty, Avishek] Narula Inst Technol, Dept Basic Sci, Kolkata 700109, WB, India; [Maity, Suman] Vidyasagar Univ, Dept Appl Math Oceanol &amp; Comp Programming, Midnapore 721102, WB, India; [Jain, Shalini] Sh KK Jain PG Coll, Dept Math, Khatauli Mzn, UP, India; [Mondal, Sankar Prasad] Maulana Abul Kalam Azad Univ Technol, Dept Appl Sci, Haringhata 741249, WB, India; [Chakraborty, Avishek; Alam, Shariful] Indian Inst Engn Sci &amp; Technol, Dept Math, Kolkata 711103, WB, India</t>
  </si>
  <si>
    <t>Vidyasagar University; Maulana Abul Kalam Azad University of Technology; Indian Institute of Engineering Science Technology Shibpur (IIEST)</t>
  </si>
  <si>
    <t>Alam, S (corresponding author), Indian Inst Engn Sci &amp; Technol, Dept Math, Kolkata 711103, WB, India.</t>
  </si>
  <si>
    <t>10.1007/s41066-020-00212-8</t>
  </si>
  <si>
    <t>Bar, Somnath; Parida, Bikash Ranjan; Roberts, Gareth; Pandey, Arvind Chandra; Acharya, Prasenjit; Dash, Jadunandan</t>
  </si>
  <si>
    <t>Spatio-temporal characterization of landscape fire in relation to anthropogenic activity and climatic variability over the Western Himalaya, India</t>
  </si>
  <si>
    <t>GISCIENCE &amp; REMOTE SENSING</t>
  </si>
  <si>
    <t>[Bar, Somnath; Parida, Bikash Ranjan; Pandey, Arvind Chandra] Cent Univ Jharkhand, Sch Nat Resource Management, Dept Geoinformat, Ranchi, Bihar, India; [Roberts, Gareth; Dash, Jadunandan] Univ Southampton, Sch Geog &amp; Environm Sci, Southampton, Highfield, England; [Acharya, Prasenjit] Vidyasagar Univ, Dept Geog, Midnapore, W Bengal, India</t>
  </si>
  <si>
    <t>Central University of Jharkhand; University of Southampton; Vidyasagar University</t>
  </si>
  <si>
    <t>Parida, BR (corresponding author), Cent Univ Jharkhand, Sch Nat Resource Management, Dept Geoinformat, Ranchi, Bihar, India.</t>
  </si>
  <si>
    <t>1548-1603</t>
  </si>
  <si>
    <t>1943-7226</t>
  </si>
  <si>
    <t>GISCI REMOTE SENS</t>
  </si>
  <si>
    <t>GISci. Remote Sens.</t>
  </si>
  <si>
    <t>10.1080/15481603.2021.1879495</t>
  </si>
  <si>
    <t>Geography, Physical; Remote Sensing</t>
  </si>
  <si>
    <t>Physical Geography; Remote Sensing</t>
  </si>
  <si>
    <t>Bronze, Green Accepted</t>
  </si>
  <si>
    <t>Dutta, Kunal; Shityakov, Sergey; Khalifa, Ibrahim</t>
  </si>
  <si>
    <t>New Trends in Bioremediation Technologies Toward Environment-Friendly Society: A Mini-Review</t>
  </si>
  <si>
    <t>FRONTIERS IN BIOENGINEERING AND BIOTECHNOLOGY</t>
  </si>
  <si>
    <t>[Dutta, Kunal] Vidyasagar Univ, Dept Human Physiol, Medinipur, India; [Shityakov, Sergey] St Petersburg Natl Res Univ Informat Technol Mech, Dept Chemoinformat, Infochem Sci Ctr, St Petersburg, Russia; [Khalifa, Ibrahim] Benha Univ, Fac Agr, Food Technol Dept, Moshtohor, Egypt</t>
  </si>
  <si>
    <t>Vidyasagar University; ITMO University; Egyptian Knowledge Bank (EKB); Benha University</t>
  </si>
  <si>
    <t>Dutta, K (corresponding author), Vidyasagar Univ, Dept Human Physiol, Medinipur, India.;Shityakov, S (corresponding author), St Petersburg Natl Res Univ Informat Technol Mech, Dept Chemoinformat, Infochem Sci Ctr, St Petersburg, Russia.;Khalifa, I (corresponding author), Benha Univ, Fac Agr, Food Technol Dept, Moshtohor, Egypt.</t>
  </si>
  <si>
    <t>2296-4185</t>
  </si>
  <si>
    <t>FRONT BIOENG BIOTECH</t>
  </si>
  <si>
    <t>Front. Bioeng. Biotechnol.</t>
  </si>
  <si>
    <t>10.3389/fbioe.2021.666858</t>
  </si>
  <si>
    <t>Biotechnology &amp; Applied Microbiology; Engineering, Biomedical</t>
  </si>
  <si>
    <t>Sahoo, Satiprasad; Khatun, Masjuda; Pradhan, Sucharita; Das, Pulakesh</t>
  </si>
  <si>
    <t>Evaluation of a physically based model to assess the eco-hydrological components on the basin hydrology</t>
  </si>
  <si>
    <t>[Sahoo, Satiprasad] Jadavpur Univ, Dept Geog, Kolkata 700032, W Bengal, India; [Khatun, Masjuda] Vidyasagar Univ, Dept Remote Sensing &amp; GIS, Midnapore, India; [Pradhan, Sucharita] Indian Inst Technol Kharagpur, Dept Agr &amp; Food Engn, Kharagpur, W Bengal, India; [Das, Pulakesh] World Resources Inst, New Delhi, India</t>
  </si>
  <si>
    <t>Jadavpur University; Vidyasagar University; Indian Institute of Technology System (IIT System); Indian Institute of Technology (IIT) - Kharagpur</t>
  </si>
  <si>
    <t>Sahoo, S (corresponding author), Jadavpur Univ, Dept Geog, Kolkata 700032, W Bengal, India.</t>
  </si>
  <si>
    <t>10.1007/s40899-021-00536-6</t>
  </si>
  <si>
    <t>Tadeo, Diego Antonio Garcia; John, S. Franklin; Bhaumik, Ankan; Neware, Rahul; Yamsani, Nagendar; Kapila, Dhiraj</t>
  </si>
  <si>
    <t>Empirical Analysis of Security Enabled Cloud Computing Strategy Using Artificial Intelligence</t>
  </si>
  <si>
    <t>2021 INTERNATIONAL CONFERENCE ON COMPUTING SCIENCES (ICCS 2021)</t>
  </si>
  <si>
    <t>[Tadeo, Diego Antonio Garcia] Univ Nacl Santiago Antunez de Mayolo, Dept Civil Engn, Huaraz, Peru; [John, S. Franklin] Vignana Jyothi Inst Management, Hyderabad, India; [Bhaumik, Ankan] Vidyasagar Univ, Dept Appl Math Oceanol &amp; Comp Programming, Midnapore, India; [Neware, Rahul] Hgsk Vestlandet, Dept Comp Math &amp; Phys, Inndalsveien 28, N-5063 Bergen, Norway; [Yamsani, Nagendar] SR Univ, Sch Comp Sci &amp; Artificial Intelligence, Warangal, Andhra Pradesh, India; [Kapila, Dhiraj] Lovely Profess Univ, Dept Comp Sci &amp; Engn, Phagwara, India</t>
  </si>
  <si>
    <t>Universidad Nacional Santiago Antunez De Mayolo; Vidyasagar University; Lovely Professional University</t>
  </si>
  <si>
    <t>Tadeo, DAG (corresponding author), Univ Nacl Santiago Antunez de Mayolo, Dept Civil Engn, Huaraz, Peru.</t>
  </si>
  <si>
    <t>978-1-6654-9445-8</t>
  </si>
  <si>
    <t>10.1109/ICCS54944.2021.00024</t>
  </si>
  <si>
    <t>Computer Science, Artificial Intelligence; Computer Science, Cybernetics; Computer Science, Information Systems</t>
  </si>
  <si>
    <t>Biswas, Pritam; Adhikari, Aniruddha; Mondal, Susmita; Das, Monojit; Bhattacharya, Siddhartha Sankar; Pal, Debasish; Choudhury, Sudeshna Shyam; Pal, Samir Kumar</t>
  </si>
  <si>
    <t>Synthesis and spectroscopic characterization of a zinc oxide-polyphenol nanohybrid from natural resources for enhanced antioxidant activity with less cytotoxicity</t>
  </si>
  <si>
    <t>[Biswas, Pritam; Choudhury, Sudeshna Shyam] St Xaviers Coll, Dept Microbiol, 30 Mother Teresa Sarani, Kolkata 700016, India; [Adhikari, Aniruddha; Mondal, Susmita; Pal, Samir Kumar] SN Bose Natl Ctr Basic Sci, Dept Chem Biol &amp; Macromol Sci, Block JD,Sect 3, Kolkata 700106, India; [Das, Monojit; Bhattacharya, Siddhartha Sankar; Pal, Debasish] Univ Calcutta, Uluberia Coll, Dept Zool, Uluberia 711315, Howrah, India; [Das, Monojit] Vidyasagar Univ, Dept Zool, Rangamati 721102, Midnapore, India</t>
  </si>
  <si>
    <t>St. Xavier's College Kolkata; Department of Science &amp; Technology (India); SN Bose National Centre for Basic Science (SNBNCBS); University of Calcutta; Vidyasagar University</t>
  </si>
  <si>
    <t>Pal, SK (corresponding author), SN Bose Natl Ctr Basic Sci, Dept Chem Biol &amp; Macromol Sci, Block JD,Sect 3, Kolkata 700106, India.</t>
  </si>
  <si>
    <t>10.1016/j.matpr.2020.09.567</t>
  </si>
  <si>
    <t>Banerjee, Manisha; Das, Sudipta; Al Mamon, Abdulla; Saha, Subhajit; Bamba, Kazuharu</t>
  </si>
  <si>
    <t>Growth of perturbations using Lambert W equation of state</t>
  </si>
  <si>
    <t>[Banerjee, Manisha; Das, Sudipta] Visva Bharati, Dept Phys, Santini Ketan 731235, W Bengal, India; [Al Mamon, Abdulla] Vidyasagar Univ, Dept Phys, Vivekananda Satavarshiki Mahavidyalaya, Manikpara 721513, W Bengal, India; [Saha, Subhajit] Panihati Mahavidyalaya, Dept Math, Kolkata 700110, W Bengal, India; [Bamba, Kazuharu] Fukushima Univ, Fac Symbiot Syst Sci, Div Human Support Syst, Fukushima 9601296, Japan</t>
  </si>
  <si>
    <t>Visva Bharati University; Vidyasagar University; Fukushima University</t>
  </si>
  <si>
    <t>Das, S (corresponding author), Visva Bharati, Dept Phys, Santini Ketan 731235, W Bengal, India.</t>
  </si>
  <si>
    <t>10.1142/S0219887821501395</t>
  </si>
  <si>
    <t>Amanathulla, Sk.; Muhiuddin, G.; Al-Kadi, D.; Pal, M.</t>
  </si>
  <si>
    <t>Multiple Attribute Decision-Making Problem Using Picture Fuzzy Graph</t>
  </si>
  <si>
    <t>[Amanathulla, Sk.] Raghunathpur Coll, Dept Math, Raghunathpur 723101, India; [Muhiuddin, G.] Univ Tabuk, Dept Math, Fac Sci, POB 741, Tabuk 71491, Saudi Arabia; [Al-Kadi, D.] Taif Univ, Dept Math &amp; Stat, Coll Sci, POB 11099, At Taif 21944, Saudi Arabia; [Pal, M.] Vidyasagar Univ, Dept Appl Math Oceanol &amp; Comp Programming, Midnapore 721102, India</t>
  </si>
  <si>
    <t>Muhiuddin, G (corresponding author), Univ Tabuk, Dept Math, Fac Sci, POB 741, Tabuk 71491, Saudi Arabia.</t>
  </si>
  <si>
    <t>10.1155/2021/9937828</t>
  </si>
  <si>
    <t>Kundu, Arnab; Dutta, Dipanwita; Patel, N. R.; Denis, D. M.; Chattoraj, K. K.</t>
  </si>
  <si>
    <t>Evaluation of Socio-Economic Drought Risk over Bundelkhand Region of India using Analytic Hierarchy Process (AHP) and Geo-Spatial Techniques</t>
  </si>
  <si>
    <t>[Kundu, Arnab; Chattoraj, K. K.] Bankura Univ, Dept Geoinformat, PRMS Mahavidyalaya, Bankura, W Bengal, India; [Dutta, Dipanwita] Vidyasagar Univ, Dept Remote Sensing &amp; GIS, Midnapore, W Bengal, India; [Patel, N. R.] Indian Inst Remote Sensing ISRO, Dept Agr &amp; Soil, Dehra Dun, Uttarakhand, India; [Denis, D. M.] Sam Higginbottom Univ Agr Technol &amp; Sci, Dept Irrigat &amp; Drainage Engn, Prayagraj, Uttar Pradesh, India</t>
  </si>
  <si>
    <t>Chattoraj, KK (corresponding author), Bankura Univ, Dept Geoinformat, PRMS Mahavidyalaya, Bankura, W Bengal, India.</t>
  </si>
  <si>
    <t>10.1007/s12524-021-01306-9</t>
  </si>
  <si>
    <t>Paul, Asim; Pervin, Magfura; Roy, Sankar Kumar; Weber, Gerhard-Wilhelm; Mirzazadeh, Abolfazl</t>
  </si>
  <si>
    <t>Effect of price-sensitive demand and default risk on optimal credit period and cycle time for a deteriorating inventory model</t>
  </si>
  <si>
    <t>[Paul, Asim; Roy, Sankar Kumar] Vidyasagar Univ, Dept Appl Math Oceanol &amp; Comp Programming, Midnapore 721102, W Bengal, India; [Pervin, Magfura] Kingston Sch Management &amp; Sci, Dept Math &amp; Stat, Kolkata 700126, W Bengal, India; [Weber, Gerhard-Wilhelm] Poznan Univ Tech, Fac Engn Management, Ul Jacka Rychlewskiego 2, PL-60965 Poznan, Poland; [Weber, Gerhard-Wilhelm] Middle East Tech Univ, Inst Appl Math, TR-06800 Ankara, Turkey; [Mirzazadeh, Abolfazl] Kharazmi Univ, Dept Ind Engn, Tehran, Iran</t>
  </si>
  <si>
    <t>Vidyasagar University; Poznan University of Technology; Middle East Technical University; Kharazmi University</t>
  </si>
  <si>
    <t>S2575</t>
  </si>
  <si>
    <t>S2592</t>
  </si>
  <si>
    <t>10.1051/ro/2020108</t>
  </si>
  <si>
    <t>Muhiuddin, G.; Al-Kadi, D.; Khan, W. A.; Jana, C.</t>
  </si>
  <si>
    <t>RETRACTED: Hybrid Structures Applied to Subalgebras of BCH-Algebras (Retracted Article)</t>
  </si>
  <si>
    <t>SECURITY AND COMMUNICATION NETWORKS</t>
  </si>
  <si>
    <t>[Muhiuddin, G.] Univ Tabuk, Dept Math, Tabuk 71491, Saudi Arabia; [Al-Kadi, D.] Taif Univ, Coll Sci, Dept Math &amp; Stat, POB 11099, At Taif 21944, Saudi Arabia; [Khan, W. A.] Prince Mohammad Bin Fahd Univ, Dept Math &amp; Nat Sci, POB 1664, Al Khobar 31952, Saudi Arabia; [Jana, C.] Vidyasagar Univ, Dept Appl Math Oceanol &amp; Comp Programming, Midnapore 721102, India</t>
  </si>
  <si>
    <t>University of Tabuk; Taif University; Prince Mohammad Bin Fahd University; Vidyasagar University</t>
  </si>
  <si>
    <t>1939-0114</t>
  </si>
  <si>
    <t>1939-0122</t>
  </si>
  <si>
    <t>SECUR COMMUN NETW</t>
  </si>
  <si>
    <t>Secur. Commun. Netw.</t>
  </si>
  <si>
    <t>10.1155/2021/8960437</t>
  </si>
  <si>
    <t>Computer Science, Information Systems; Telecommunications</t>
  </si>
  <si>
    <t>Jana, S. H.; Jana, B.; DAS, B.; Panirahi, G.; Maiti, M.</t>
  </si>
  <si>
    <t>FCSTP WITH POSSIBILITY AND EXPECTED VALUE APPROACHES IN HYBRID UNCERTAIN ENVIRONMENTS</t>
  </si>
  <si>
    <t>[Jana, S. H.] Midnapore Coll Autonomous, Dept Math, Midnapore 721101, W Bengal, India; [Jana, B.] Vidyasagar Univ, Dept Comp Sci, Midnapore 721102, W Bengal, India; [DAS, B.] Sidho Kanho Birsha Univ, Dept Math, Lagda 723104, W Bengal, India; [Panirahi, G.] NIT Durgapur, Dept Math, Durgapur 713209, W Bengal, India; [Maiti, M.] Vidyasagar Univ, Dept Math, Midnapore 721102, India</t>
  </si>
  <si>
    <t>Midnapore College; Vidyasagar University; National Institute of Technology (NIT System); National Institute of Technology Durgapur; Vidyasagar University</t>
  </si>
  <si>
    <t>Jana, SH (corresponding author), Midnapore Coll Autonomous, Dept Math, Midnapore 721101, W Bengal, India.</t>
  </si>
  <si>
    <t>Rashmanlou, Hossein; Muhiuddin, G.; Amanathulla, S. K.; Mofidnakhaei, F.; Pal, Madhumangal</t>
  </si>
  <si>
    <t>A study on cubic graphs with novel application</t>
  </si>
  <si>
    <t>[Rashmanlou, Hossein] Mazandaran Adib Inst Higher Educ, Sari, Iran; [Muhiuddin, G.] Univ Tabuk, Dept Math, Tabuk, Saudi Arabia; [Amanathulla, S. K.] Raghunathpur Coll, Dept Math, Raghunathpur, Purulia, India; [Mofidnakhaei, F.] Islamic Azad Univ, Dept Phys, Sari Branch, Sari, Iran; [Pal, Madhumangal] Vidyasagar Univ, Dept Appl Math Oceanol &amp; Comp Programming, Midnapore, India</t>
  </si>
  <si>
    <t>University of Tabuk; Islamic Azad University; Vidyasagar University</t>
  </si>
  <si>
    <t>Amanathulla, SK (corresponding author), Raghunathpur Coll, Dept Math, Raghunathpur, Purulia, India.</t>
  </si>
  <si>
    <t>10.3233/JIFS-182929</t>
  </si>
  <si>
    <t>Dutta, Dipanwita; Rahman, Atiqur; Paul, S. K.; Kundu, Arnab</t>
  </si>
  <si>
    <t>Spatial and temporal trends of urban green spaces: an assessment using hyper-temporal NDVI datasets</t>
  </si>
  <si>
    <t>[Dutta, Dipanwita] Vidyasagar Univ, Dept Remote Sensing &amp; GIS, Midnapore, W Bengal, India; [Rahman, Atiqur] Jamia Millia Islamia, Dept Geog, Fac Nat Sci, New Delhi, India; [Paul, S. K.] Indian Inst Technol Kharagpur, Dept Architecture &amp; Reg Planning, Kharagpur, W Bengal, India; [Kundu, Arnab] Bankura Univ, Dept Geoinformat, PRMS Mahavidyalaya, Bankura, W Bengal, India</t>
  </si>
  <si>
    <t>Vidyasagar University; Jamia Millia Islamia; Indian Institute of Technology System (IIT System); Indian Institute of Technology (IIT) - Kharagpur</t>
  </si>
  <si>
    <t>10.1080/10106049.2021.1989499</t>
  </si>
  <si>
    <t>Bhattacharya, Manojit; Sharma, Ashish Ranjan; Ghosh, Pratik; Lee, Sang-Soo; Chakraborty, Chiranjib</t>
  </si>
  <si>
    <t>A Next-Generation Vaccine Candidate Using Alternative Epitopes to Protect against Wuhan and All Significant Mutant Variants of SARS-CoV-2: An Immunoinformatics Approach</t>
  </si>
  <si>
    <t>AGING AND DISEASE</t>
  </si>
  <si>
    <t>[Bhattacharya, Manojit] Fakir Mohan Univ, Dept Zool, Balasore 756020, Odisha, India; [Sharma, Ashish Ranjan; Lee, Sang-Soo] Hallym Univ, Inst Skeletal Aging &amp; Orthoped Surg, Chuncheon Sacred Heart Hosp, Chuncheon Si 24252, Gangwon Do, South Korea; [Ghosh, Pratik] Vidyasagar Univ, Dept Zool, Midnapore 721102, W Bengal, India; [Chakraborty, Chiranjib] Adamas Univ, Sch Life Sci &amp; Biotechnol, Dept Biotechnol, Barasat Barrackpore Rd, Kolkata 700126, W Bengal, India</t>
  </si>
  <si>
    <t>Chakraborty, C (corresponding author), Adamas Univ, Sch Life Sci &amp; Biotechnol, Kolkata 700126, W Bengal, India.;Lee, SS (corresponding author), Hallym Univ, Chuncheon Sacred Heart Hosp, Chuncheon Si 24252, Gangwon Do, South Korea.</t>
  </si>
  <si>
    <t>INT SOC AGING &amp; DISEASE</t>
  </si>
  <si>
    <t>FORT WORTH</t>
  </si>
  <si>
    <t>EDITORIAL OFF, 3400 CAMP BOWIE BLVD, FORT WORTH, TX 76106 USA</t>
  </si>
  <si>
    <t>2152-5250</t>
  </si>
  <si>
    <t>AGING DIS</t>
  </si>
  <si>
    <t>Aging Dis.</t>
  </si>
  <si>
    <t>10.14336/AD.2021.0518</t>
  </si>
  <si>
    <t>Impervious surface growth and its inter-relationship with vegetation cover and land surface temperature in peri-urban areas of Delhi</t>
  </si>
  <si>
    <t>[Dutta, Dipanwita] Vidyasagar Univ, Dept Remote Sensing &amp; GIS, Midnapore, W Bengal, India; [Rahman, Atiqur] Jamia Millia Islamia, Dept Geog, Fac Nat Sci, New Delhi, India; [Paul, S. K.] Indian Inst Technol, Dept Architecture &amp; Reg Planning, Kharagpur, W Bengal, India; [Kundu, Arnab] Bankura Univ, Dept Geoinformat, PRMS Mahavidyalaya, Bankura, W Bengal, India</t>
  </si>
  <si>
    <t>Kundu, A (corresponding author), Bankura Univ, Dept Geoinformat, PRMS Mahavidyalaya, Bankura, W Bengal, India.</t>
  </si>
  <si>
    <t>10.1016/j.uclim.2021.100799</t>
  </si>
  <si>
    <t>Dwivedi, Poushpi; Tiwary, Dhanesh; Mishra, Pradeep Kumar; Narvi, Shahid Suhail; Tewari, Ravi Prakash</t>
  </si>
  <si>
    <t>Dual approach transformation of human finger and toe nail pruning into MgO/CaO nanoalloy</t>
  </si>
  <si>
    <t>[Tiwary, Dhanesh] Banaras Hindu Univ, Dept Chem, Indian Inst Technol, Varanasi, Uttar Pradesh, India; [Mishra, Pradeep Kumar] Banaras Hindu Univ, Dept Chem Engn &amp; Technol, Indian Inst Technol, Varanasi, Uttar Pradesh, India; [Narvi, Shahid Suhail] Motilal Nehru Natl Inst Technol Allahabad, Chem Dept, Allahabad, Uttar Pradesh, India; [Tewari, Ravi Prakash] Motilal Nehru Natl Inst Technol Allahabad, Appl Mech Dept, Allahabad, Uttar Pradesh, India; [Dwivedi, Poushpi] Vidyasagar Univ, Belda Coll, Dept Chem, Paschim Medinipur 721424, W Bengal, India</t>
  </si>
  <si>
    <t>Indian Institute of Technology System (IIT System); Indian Institute of Technology BHU Varanasi (IIT BHU Varanasi); Banaras Hindu University (BHU); Indian Institute of Technology System (IIT System); Indian Institute of Technology BHU Varanasi (IIT BHU Varanasi); Banaras Hindu University (BHU); National Institute of Technology (NIT System); Motilal Nehru National Institute of Technology; National Institute of Technology (NIT System); Motilal Nehru National Institute of Technology; Vidyasagar University</t>
  </si>
  <si>
    <t>Dwivedi, P (corresponding author), Vidyasagar Univ, Belda Coll, Dept Chem, Paschim Medinipur 721424, W Bengal, India.</t>
  </si>
  <si>
    <t>10.1016/j.inoche.2021.108479</t>
  </si>
  <si>
    <t>Mandal, Manas Kumar; Barai, Manas; Sultana, Habiba; Manna, Emili; Musib, Dulal; Maiti, Dilip Kumar; Panda, Amiya Kumar</t>
  </si>
  <si>
    <t>Interfacial and Aggregation Behaviour of Sodium Dodecyl Sulphate Induced by Ionic Liquids</t>
  </si>
  <si>
    <t>[Mandal, Manas Kumar; Barai, Manas; Sultana, Habiba; Manna, Emili; Panda, Amiya Kumar] Vidyasagar Univ, Dept Chem, Midnapore 721102, W Bengal, India; [Musib, Dulal] Natl Inst Technol Manipur, Dept Chem, Imphal 795004, Manipur, India; [Maiti, Dilip Kumar] Univ Calcutta, Dept Chem, 92 APC Rd, Kolkata 700009, W Bengal, India</t>
  </si>
  <si>
    <t>Vidyasagar University; National Institute of Technology (NIT System); National Institute of Technology Manipur; University of Calcutta</t>
  </si>
  <si>
    <t>10.5650/jos.ess20303</t>
  </si>
  <si>
    <t>Zutshi, Shubhranshu; Sarode, Aditya Yashwant; Ghosh, Soumya Kanti; Jha, Mukesh Kumar; Sudan, Raki; Kumar, Sunil; Sadhale, Late Parag; Roy, Somenath; Saha, Bhaskar</t>
  </si>
  <si>
    <t>LmjF.36.3850, a novel hypothetical Leishmania major protein, contributes to the infection</t>
  </si>
  <si>
    <t>IMMUNOLOGY</t>
  </si>
  <si>
    <t>[Zutshi, Shubhranshu; Sarode, Aditya Yashwant; Jha, Mukesh Kumar; Sudan, Raki; Kumar, Sunil; Saha, Bhaskar] Natl Ctr Cell Sci, Pune 411007, Maharashtra, India; [Ghosh, Soumya Kanti] Maulana Abul Kalam Azad Univ Technol, Kolkata, India; [Sadhale, Late Parag] Indian Inst Sci, Bengaluru, India; [Roy, Somenath] Vidyasagar Univ, Dept Human Physiol, Midnapore, India; [Saha, Bhaskar] Trident Acad Creat Technol, Chandrasekharpur, India</t>
  </si>
  <si>
    <t>Department of Biotechnology (DBT) India; National Centre for Cell Science, Pune (NCCS); Maulana Abul Kalam Azad University of Technology; Indian Institute of Science (IISC) - Bangalore; Vidyasagar University</t>
  </si>
  <si>
    <t>Saha, B (corresponding author), Natl Ctr Cell Sci, Pune 411007, Maharashtra, India.</t>
  </si>
  <si>
    <t>0019-2805</t>
  </si>
  <si>
    <t>1365-2567</t>
  </si>
  <si>
    <t>10.1111/imm.13331</t>
  </si>
  <si>
    <t>Bronze, Green Published, Green Accepted</t>
  </si>
  <si>
    <t>Kulovi, Somnath; Nandi, Laxmikanta; Puschmann, Horst; Zangrando, Ennio; Dalai, Sudipta</t>
  </si>
  <si>
    <t>Two 1D Silver(I) Coordination Polymers with 1,3-Bis(4-pyridyl) propane and Aromatic Carboxylate Anions: Synthesis, Structure and Photocatalytic Behavior</t>
  </si>
  <si>
    <t>[Kulovi, Somnath; Nandi, Laxmikanta; Dalai, Sudipta] Vidyasagar Univ, Dept Chem, Midnapore 721102, W Bengal, India; [Puschmann, Horst] Univ Durham, Dept Chem, Darham DH1 3LE, England; [Zangrando, Ennio] Univ Trieste, Dept Chem &amp; Pharmaceut Sci, I-34127 Trieste, Italy</t>
  </si>
  <si>
    <t>Vidyasagar University; Durham University; University of Trieste</t>
  </si>
  <si>
    <t>Dalai, S (corresponding author), Vidyasagar Univ, Dept Chem, Midnapore 721102, W Bengal, India.</t>
  </si>
  <si>
    <t>10.1002/slct.202102197</t>
  </si>
  <si>
    <t>Bhunia, Supriya; Ghorai, Ganesh; Kutbi, Marwan Amin; Gulzar, Muhammad; Alam, Md Ashraful</t>
  </si>
  <si>
    <t>On the Algebraic Characteristics of Fuzzy Sub e-Groups</t>
  </si>
  <si>
    <t>JOURNAL OF FUNCTION SPACES</t>
  </si>
  <si>
    <t>[Bhunia, Supriya; Ghorai, Ganesh] Vidyasagar Univ, Dept Appl Math Oceanol &amp; Comp Programming, Midnapore 721102, India; [Kutbi, Marwan Amin] King Abdulaziz Univ, Dept Math, POB 80203, Jeddah 21589, Saudi Arabia; [Gulzar, Muhammad] Govt Coll Univ Faisalabad, Dept Math, Faisalabad 38000, Pakistan; [Alam, Md Ashraful] Jahangirnagar Univ, Dept Math, Dhaka, Bangladesh</t>
  </si>
  <si>
    <t>Vidyasagar University; King Abdulaziz University; Government College University Faisalabad; Jahangirnagar University</t>
  </si>
  <si>
    <t>2314-8896</t>
  </si>
  <si>
    <t>2314-8888</t>
  </si>
  <si>
    <t>J FUNCT SPACE</t>
  </si>
  <si>
    <t>J. Funct. space</t>
  </si>
  <si>
    <t>10.1155/2021/5253346</t>
  </si>
  <si>
    <t>Maity, Gajendra Nath; Maity, Prasenjit; Khatua, Somanjana; Acharya, Krishnendu; Dalai, Sudipta; Mondal, Soumitra</t>
  </si>
  <si>
    <t>Structural features and antioxidant activity of a new galactoglucan from edible mushroom Pleurotus djamor</t>
  </si>
  <si>
    <t>[Maity, Gajendra Nath] Panskura Banamali Coll, Dept Microbiol, Purba Midnapore 721152, W Bengal, India; [Maity, Prasenjit; Mondal, Soumitra] Panskura Banamali Coll, Dept Chem, Purba Midnapore 721152, W Bengal, India; [Maity, Gajendra Nath] Asutosh Coll, Dept Microbiol, 92,SP Mukherjee Rd, Kolkata 700026, W Bengal, India; [Maity, Prasenjit] Sabang Sajanikanta Mahavidyalaya, Dept Chem, Paschim Midnapore 721166, W Bengal, India; [Khatua, Somanjana; Acharya, Krishnendu] Univ Calcutta, Dept Bot, Mol &amp; Appl Mycol &amp; Plant Pathol Lab, 35 Ballygunge Circular Rd, Kolkata 700019, W Bengal, India; [Dalai, Sudipta] Vidyasagar Univ, Dept Chem, Midnapore 721102, W Bengal, India</t>
  </si>
  <si>
    <t>Mondal, S (corresponding author), Panskura Banamali Coll, Dept Chem, Purba Midnapore 721152, W Bengal, India.</t>
  </si>
  <si>
    <t>10.1016/j.ijbiomac.2020.11.131</t>
  </si>
  <si>
    <t>Mondal, Susmita; Adhikari, Anirudddha; Ghosh, Ria; Singh, Manali; Das, Monojit; Darbar, Soumendra; Bhattacharya, Siddhartha Sankar; Pal, Debasish; Pal, Samir Kumar</t>
  </si>
  <si>
    <t>Synthesis and spectroscopic characterization of a target-specific nanohybrid for redox buffering in cellular milieu</t>
  </si>
  <si>
    <t>MRS ADVANCES</t>
  </si>
  <si>
    <t>[Mondal, Susmita; Adhikari, Anirudddha; Pal, Samir Kumar] SN Bose Natl Ctr Basic Sci, Dept Chem Biol &amp; Macromol Sci, Block JD,Sect 3, Kolkata 700106, India; [Ghosh, Ria; Pal, Samir Kumar] SN Bose Natl Ctr Basic Sci, Tech Res Ctr, Block JD,Sect 3, Kolkata 700106, W Bengal, India; [Singh, Manali] Thapar Inst Engn &amp; Technol, Dept Biotechnol, POB 32, Patiala 147004, Punjab, India; [Das, Monojit; Bhattacharya, Siddhartha Sankar; Pal, Debasish] Univ Calcutta, Uluberia Coll, Dept Zool, Uluberia 711315, Howrah, India; [Das, Monojit] Vidyasagar Univ, Dept Zool, Rangamati 721102, Midnapore, India; [Darbar, Soumendra] Deys Med Stores Mfg Ltd, Res &amp; Dev Div, 62 Bondel Rd, Kolkata 700019, India</t>
  </si>
  <si>
    <t>Department of Science &amp; Technology (India); SN Bose National Centre for Basic Science (SNBNCBS); Department of Science &amp; Technology (India); SN Bose National Centre for Basic Science (SNBNCBS); Thapar Institute of Engineering &amp; Technology; University of Calcutta; Vidyasagar University</t>
  </si>
  <si>
    <t>Pal, SK (corresponding author), SN Bose Natl Ctr Basic Sci, Dept Chem Biol &amp; Macromol Sci, Block JD,Sect 3, Kolkata 700106, India.;Pal, SK (corresponding author), SN Bose Natl Ctr Basic Sci, Tech Res Ctr, Block JD,Sect 3, Kolkata 700106, W Bengal, India.</t>
  </si>
  <si>
    <t>2059-8521</t>
  </si>
  <si>
    <t>MRS ADV</t>
  </si>
  <si>
    <t>MRS Adv.</t>
  </si>
  <si>
    <t>10.1557/s43580-021-00087-0</t>
  </si>
  <si>
    <t>Paul, Asim; Pervin, Magfura; Roy, Sankar Kumar; Maculan, Nelson; Weber, Gerhard-Wilhelm</t>
  </si>
  <si>
    <t>A green inventory model with the effect of carbon taxation</t>
  </si>
  <si>
    <t>[Paul, Asim; Roy, Sankar Kumar] Vidyasagar Univ, Dept Appl Math Oceanol &amp; Comp Programming, Midnapore 721102, W Bengal, India; [Pervin, Magfura] Kingston Sch Management &amp; Sci, Dept Math &amp; Stat, Kolkata 700126, W Bengal, India; [Maculan, Nelson] Univ Fed Rio De Janeiro, PESC COPPE Grad Sch Engn, Caixa Postal 68511, BR-21941972 Rio De Janeiro, RJ, Brazil; [Maculan, Nelson] Univ Fed Rio De Janeiro, Inst Math, Caixa Postal 68511, BR-21941972 Rio De Janeiro, RJ, Brazil; [Weber, Gerhard-Wilhelm] Poznan Univ Tech, Fac Engn &amp; Management, Ul Jacka Rychlewskiego 2, PL-60965 Poznan, Poland; [Weber, Gerhard-Wilhelm] METU, Inst Appl Math, Ankara, Turkey</t>
  </si>
  <si>
    <t>Vidyasagar University; Universidade Federal do Rio de Janeiro; Universidade Federal do Rio de Janeiro; Poznan University of Technology; Middle East Technical University</t>
  </si>
  <si>
    <t>10.1007/s10479-021-04143-8</t>
  </si>
  <si>
    <t>Banerjee, Sreeparna; SubirBiswas; Roy, Shimul; Pal, Manoranjan; Hossain, Md Golam; Bharati, Premananda</t>
  </si>
  <si>
    <t>Nutritional and immunization status of under-five children of India and Bangladesh</t>
  </si>
  <si>
    <t>BMC NUTRITION</t>
  </si>
  <si>
    <t>[Banerjee, Sreeparna; SubirBiswas] West Bengal State Univ, Dept Anthropol, PO Malikapur, Barasat 700126, W Bengal, India; [Roy, Shimul] Vidyasagar Univ, Dept Anthropol, Midnapore 721102, W Bengal, India; [Pal, Manoranjan] Indian Stat Inst, Econ Res Unit, 203 BT Rd, Kolkata 700108, W Bengal, India; [Hossain, Md Golam] Univ Rajshahi, Dept Stat, Rajshahi 6205, Bangladesh; [Bharati, Premananda] Indian Stat Inst, Biol Anthropol, 203 BT Rd, Kolkata 700108, W Bengal, India</t>
  </si>
  <si>
    <t>West Bengal State University; Vidyasagar University; Indian Statistical Institute; Indian Statistical Institute Kolkata; University of Rajshahi; Indian Statistical Institute; Indian Statistical Institute Kolkata</t>
  </si>
  <si>
    <t>Hossain, MG (corresponding author), Univ Rajshahi, Dept Stat, Rajshahi 6205, Bangladesh.</t>
  </si>
  <si>
    <t>2055-0928</t>
  </si>
  <si>
    <t>BMC NUTR</t>
  </si>
  <si>
    <t>BMC Nutr.</t>
  </si>
  <si>
    <t>10.1186/s40795-021-00484-6</t>
  </si>
  <si>
    <t>Nutrition &amp; Dietetics</t>
  </si>
  <si>
    <t>Ghosh, Pratik; Bhakta, Swarnav; Bhattacharya, Manojit; Sharma, Ashish Ranjan; Sharma, Garima; Lee, Sang-Soo; Chakraborty, Chiranjib</t>
  </si>
  <si>
    <t>A Novel Multi-Epitopic Peptide Vaccine Candidate Against Helicobacter pylori: In-Silico Identification, Design, Cloning and Validation Through Molecular Dynamics</t>
  </si>
  <si>
    <t>[Ghosh, Pratik] Vidyasagar Univ, Dept Zool, Midnapore 721102, W Bengal, India; [Bhakta, Swarnav; Chakraborty, Chiranjib] Adamas Univ, Sch Life Sci &amp; Biotechnol, Dept Biotechnol, Barasat Barrackpore Rd, Kolkata 700126, W Bengal, India; [Bhattacharya, Manojit] Fakir Mohan Univ, Dept Zool, Balasore 756020, Odisha, India; [Sharma, Ashish Ranjan; Lee, Sang-Soo; Chakraborty, Chiranjib] Hallym Univ, Inst Skeletal Aging &amp; Orthoped Surg, Chuncheon Sacred Heart Hosp, Chuncheon Si 24252, Gangwon Do, South Korea; [Sharma, Garima] Kangwon Natl Univ, Dept Biomed Sci, Chuncheon Si 24341, Gangwon Do, South Korea; [Sharma, Garima] Kangwon Natl Univ, Inst Biosci &amp; Biotechnol, Chuncheon Si 24341, Gangwon Do, South Korea</t>
  </si>
  <si>
    <t>Vidyasagar University; Fakir Mohan University; Hallym University; Kangwon National University; Kangwon National University</t>
  </si>
  <si>
    <t>Chakraborty, C (corresponding author), Adamas Univ, Sch Life Sci &amp; Biotechnol, Dept Biotechnol, Barasat Barrackpore Rd, Kolkata 700126, W Bengal, India.;Lee, SS; Chakraborty, C (corresponding author), Hallym Univ, Inst Skeletal Aging &amp; Orthoped Surg, Chuncheon Sacred Heart Hosp, Chuncheon Si 24252, Gangwon Do, South Korea.</t>
  </si>
  <si>
    <t>10.1007/s10989-020-10157-w</t>
  </si>
  <si>
    <t>Sultana, Habiba; Barai, Manas; Mandal, Manas Kumar; Manna, Emili; Maiti, Dilip Kumar; Dhara, Dibakar; Panda, Amiya Kumar</t>
  </si>
  <si>
    <t>Effect of ionic liquid on the micellization behavior of bile salts in aqueous medium</t>
  </si>
  <si>
    <t>JOURNAL OF DISPERSION SCIENCE AND TECHNOLOGY</t>
  </si>
  <si>
    <t>[Sultana, Habiba; Barai, Manas; Mandal, Manas Kumar; Panda, Amiya Kumar] Vidyasagar Univ, Dept Chem, Midnapore 721102, W Bengal, India; [Manna, Emili] Vidyasagar Univ, Ctr Life Sci, Midnapore, W Bengal, India; [Maiti, Dilip Kumar] Univ Calcutta, Dept Chem, Kolkata, W Bengal, India; [Dhara, Dibakar] Indian Inst Technol, Dept Chem, Kharagpur, W Bengal, India</t>
  </si>
  <si>
    <t>Vidyasagar University; Vidyasagar University; University of Calcutta; Indian Institute of Technology System (IIT System); Indian Institute of Technology (IIT) - Kharagpur</t>
  </si>
  <si>
    <t>0193-2691</t>
  </si>
  <si>
    <t>1532-2351</t>
  </si>
  <si>
    <t>J DISPER SCI TECHNOL</t>
  </si>
  <si>
    <t>J. Dispersion Sci. Technol.</t>
  </si>
  <si>
    <t>10.1080/01932691.2021.1915155</t>
  </si>
  <si>
    <t>Acharya, Prasenjit; Barik, Gunadhar; Gayen, Bijoy Krishna; Bar, Somnath; Maiti, Arabinda; Sarkar, Ashis; Ghosh, Surajit; De, Sikhendra Kisor; Sreekesh, S.</t>
  </si>
  <si>
    <t>Revisiting the levels of Aerosol Optical Depth in south-southeast Asia, Europe and USA amid the COVID-19 pandemic using satellite observations</t>
  </si>
  <si>
    <t>[Acharya, Prasenjit; Barik, Gunadhar; Maiti, Arabinda; Sarkar, Ashis] Vidyasagar Univ, Dept Geog, Midnapore, W Bengal, India; [Gayen, Bijoy Krishna] Vidyasagar Univ, Dept Remote Sensing &amp; GIS, Midnapore, W Bengal, India; [Bar, Somnath] Cent Univ Jharkhand, Dept Geoinformat, Ranchi, Bihar, India; [Ghosh, Surajit] Int Water Management Inst IWMI, Battaramulla, Sri Lanka; [De, Sikhendra Kisor] Geol Survey India, Kolkata, India; [Sreekesh, S.] Jawaharlal Nehru Univ, Ctr Study Reg Dev, New Delhi, India</t>
  </si>
  <si>
    <t>Vidyasagar University; Vidyasagar University; Central University of Jharkhand; CGIAR; International Water Management Institute (IWMI); Geological Survey India; Jawaharlal Nehru University, New Delhi</t>
  </si>
  <si>
    <t>10.1016/j.envres.2020.110514</t>
  </si>
  <si>
    <t>Sarangi, A.; Das, B. S.; Patnaik, G.; Sarkar, S.; Debnath, M.; Mohan, M.; Bhattacharya, D.</t>
  </si>
  <si>
    <t>Potent anti-mycobacterial and immunomodulatory activity of some bioactive molecules of Indian ethnomedicinal plants that have the potential to enter in TB management</t>
  </si>
  <si>
    <t>JOURNAL OF APPLIED MICROBIOLOGY</t>
  </si>
  <si>
    <t>[Sarangi, A.; Das, B. S.; Bhattacharya, D.] SOA Deemed Univ, Ctr Biotechnol, Sch Pharmaceut Sci, Bhubaneswar, Odisha, India; [Patnaik, G.] Jawaharlal Nehru Univ, Special Ctr Mol Med, New Delhi, India; [Sarkar, S.] Barsal High Sch, Rampurhat, W Bengal, India; [Debnath, M.] Vidyasagar Univ, Panskura Banamali Coll Autonomous, Panskura, W Bengal, India; [Mohan, M.] ICMR Natl Inst Malarial Res NIMR, New Delhi, India</t>
  </si>
  <si>
    <t>Siksha 'O' Anusandhan University; Jawaharlal Nehru University, New Delhi; Vidyasagar University; Indian Council of Medical Research (ICMR); ICMR - National Institute of Malaria Research (NIMR)</t>
  </si>
  <si>
    <t>Bhattacharya, D (corresponding author), SOA Deemed Univ, Ctr Biotechnol, Sch Pharmaceut Sci, Bhubaneswar, Odisha, India.</t>
  </si>
  <si>
    <t>1364-5072</t>
  </si>
  <si>
    <t>1365-2672</t>
  </si>
  <si>
    <t>J APPL MICROBIOL</t>
  </si>
  <si>
    <t>J. Appl. Microbiol.</t>
  </si>
  <si>
    <t>10.1111/jam.15088</t>
  </si>
  <si>
    <t>Das, Bhriguram; Dolai, Malay; Dhara, Anamika; Mabhai, Subhabrata; Jana, Atanu; Dey, Satyajit; Misra, Ajay</t>
  </si>
  <si>
    <t>Acetate ion augmented fluorescence sensing of Zn2+ by Salen-based probe, AIE character, and application for picric acid detection</t>
  </si>
  <si>
    <t>ANALYTICAL SCIENCE ADVANCES</t>
  </si>
  <si>
    <t>[Das, Bhriguram; Misra, Ajay] Vidyasagar Univ, Dept Chem, Midnapore 721102, W Bengal, India; [Das, Bhriguram; Dey, Satyajit] Tamralipta Mahavidyalaya, Dept Chem, Purba Medinipu 721636, W Bengal, India; [Dolai, Malay] Prabhat Kumar Coll, Dept Chem, Contai 721404, India; [Dhara, Anamika] Hiralal Mazumdar Mem Coll ForWomen, Dept Chem, Dakshineswar,North 24 Parganas, Kolkata 700035, India; [Mabhai, Subhabrata] Mahishadal Raj Coll, Dept Chem, Mahishadal 721628, India; [Jana, Atanu; Misra, Ajay] Dongguk Univ, Div Phys &amp; Semicond Sci, Seoul 04620, South Korea</t>
  </si>
  <si>
    <t>Vidyasagar University; Dongguk University</t>
  </si>
  <si>
    <t>Misra, A (corresponding author), Vidyasagar Univ, Dept Chem, Midnapore 721102, W Bengal, India.;Dey, S (corresponding author), Tamralipta Mahavidyalaya, Dept Chem, Purba Medinipu 721636, W Bengal, India.;Jana, A (corresponding author), Dongguk Univ, Div Phys &amp; Semicond Sci, Seoul 04620, South Korea.</t>
  </si>
  <si>
    <t>2628-5452</t>
  </si>
  <si>
    <t>ANAL SCI ADV</t>
  </si>
  <si>
    <t>Anal. Sci. Adv.</t>
  </si>
  <si>
    <t>10.1002/ansa.202000165</t>
  </si>
  <si>
    <t>Das, Sabyasachi; Tripathy, Satyajit; Pramanik, Panchanan; Saha, Bhaskar; Roy, Somenath</t>
  </si>
  <si>
    <t>A novel nano-anti-malarial induces redox damage and elicits cytokine response to the parasite</t>
  </si>
  <si>
    <t>CYTOKINE</t>
  </si>
  <si>
    <t>[Das, Sabyasachi] Manipal Univ Coll Malaysia, Fac Med, Jalan Padang Jambu, Melaka 75150, Malaysia; [Das, Sabyasachi; Roy, Somenath] Vidyasagar Univ, Dept Human Physiol Community Hlth, Immunol &amp; Microbiol Lab, Midnapore 721102, W Bengal, India; [Tripathy, Satyajit] Univ Free State, ZA-9300 Bloemfontein, South Africa; [Pramanik, Panchanan] Indian Inst Technol, Dept Chem, Nanomat Lab, Kharagpur 721302, W Bengal, India; [Saha, Bhaskar] Natl Ctr Cell Sci, Pune 411007, Maharashtra, India</t>
  </si>
  <si>
    <t>Vidyasagar University; University of the Free State; Indian Institute of Technology System (IIT System); Indian Institute of Technology (IIT) - Kharagpur; Department of Biotechnology (DBT) India; National Centre for Cell Science, Pune (NCCS)</t>
  </si>
  <si>
    <t>Roy, S (corresponding author), Vidyasagar Univ, Dept Physiol, Midnapore 722102, India.</t>
  </si>
  <si>
    <t>1043-4666</t>
  </si>
  <si>
    <t>1096-0023</t>
  </si>
  <si>
    <t>Cytokine</t>
  </si>
  <si>
    <t>10.1016/j.cyto.2021.155555</t>
  </si>
  <si>
    <t>Biochemistry &amp; Molecular Biology; Cell Biology; Immunology</t>
  </si>
  <si>
    <t>Adhikari, Aniruddha; Mondal, Susmita; Das, Monojit; Ghosh, Ria; Biswas, Pritam; Darbar, Soumendra; Singh, Soumendra; Das, Anjan Kumar; Bhattacharya, Siddhartha Sankar; Pal, Debasish; Mallick, Asim Kumar; Pal, Samir Kumar</t>
  </si>
  <si>
    <t>Redox Buffering Capacity of Nanomaterials as an Index of ROS-Based Therapeutics and Toxicity: A Preclinical Animal Study</t>
  </si>
  <si>
    <t>ACS BIOMATERIALS SCIENCE &amp; ENGINEERING</t>
  </si>
  <si>
    <t>[Adhikari, Aniruddha; Mondal, Susmita; Pal, Samir Kumar] SN Bose Natl Ctr Basic Sci, Dept Chem Biol &amp; Macromol Sci, Kolkata 700106, India; [Das, Monojit; Bhattacharya, Siddhartha Sankar; Pal, Debasish; Pal, Samir Kumar] Univ Calcutta, Uluberia Coll, Dept Zool, Howrah 711315, India; [Das, Monojit] Vidyasagar Univ, Dept Zool, Midnapore 721102, India; [Ghosh, Ria; Singh, Soumendra; Pal, Samir Kumar] SN Bose Natl Ctr Basic Sci, Tech Res Ctr, Kolkata 700106, India; [Biswas, Pritam] St Xaviers Coll, Dept Microbiol, Kolkata 700016, India; [Darbar, Soumendra] Deys Med Stores Mfg Pvt Ltd, Res &amp; Dev Div, Kolkata 700019, India; [Das, Anjan Kumar] Coochbehar Govt Med Coll &amp; Hosp, Dept Pathol, Silver Jubilee Rd, Cooch Behar 736101, India; [Mallick, Asim Kumar] Nil Ratan Sirkar Med Coll &amp; Hosp, Dept Pediat Med, Kolkata 700014, India</t>
  </si>
  <si>
    <t>Department of Science &amp; Technology (India); SN Bose National Centre for Basic Science (SNBNCBS); University of Calcutta; Vidyasagar University; Department of Science &amp; Technology (India); SN Bose National Centre for Basic Science (SNBNCBS); St. Xavier's College Kolkata</t>
  </si>
  <si>
    <t>Pal, SK (corresponding author), SN Bose Natl Ctr Basic Sci, Dept Chem Biol &amp; Macromol Sci, Kolkata 700106, India.;Pal, SK (corresponding author), Univ Calcutta, Uluberia Coll, Dept Zool, Howrah 711315, India.;Pal, SK (corresponding author), SN Bose Natl Ctr Basic Sci, Tech Res Ctr, Kolkata 700106, India.</t>
  </si>
  <si>
    <t>2373-9878</t>
  </si>
  <si>
    <t>ACS BIOMATER SCI ENG</t>
  </si>
  <si>
    <t>ACS Biomater. Sci. Eng.</t>
  </si>
  <si>
    <t>10.1021/acsbiomaterials.1c00402</t>
  </si>
  <si>
    <t>Nazeer, Majid; Ilori, Christopher Olayinka; Bilal, Muhammad; Nichol, Janet Elizabeth; Wu, Weicheng; Qiu, Zhongfeng; Gayene, Bijoy Krishna</t>
  </si>
  <si>
    <t>Evaluation of atmospheric correction methods for low to high resolutions satellite remote sensing data</t>
  </si>
  <si>
    <t>[Nazeer, Majid; Wu, Weicheng] East China Univ Technol, Key Lab Digital Land &amp; Resources, Nanchang 330013, Jiangxi, Peoples R China; [Ilori, Christopher Olayinka] Simon Fraser Univ, 8888 Univ Dr, Burnaby, BC V5A 1S6, Canada; [Bilal, Muhammad; Qiu, Zhongfeng] Nanjing Univ Informat Sci &amp; Technol, Sch Marine Sci, Nanjing 210044, Peoples R China; [Nichol, Janet Elizabeth] Univ Sussex, Sch Global Studies, Dept Geog, Brighton BN1 9RH, E Sussex, England; [Gayene, Bijoy Krishna] Vidyasagar Univ, Dept Remote Sensing &amp; GIS, Midnapore 721102, W Bengal, India</t>
  </si>
  <si>
    <t>East China University of Technology; Simon Fraser University; Nanjing University of Information Science &amp; Technology; University of Sussex; Vidyasagar University</t>
  </si>
  <si>
    <t>Bilal, M (corresponding author), Nanjing Univ Informat Sci &amp; Technol, Sch Marine Sci, Nanjing 210044, Peoples R China.</t>
  </si>
  <si>
    <t>10.1016/j.atmosres.2020.105308</t>
  </si>
  <si>
    <t>Tchier, Fairouz; Ali, Ghous; Gulzar, Muhammad; Pamucar, Dragan; Ghorai, Ganesh</t>
  </si>
  <si>
    <t>A New Group Decision-Making Technique under Picture Fuzzy Soft Expert Information</t>
  </si>
  <si>
    <t>[Tchier, Fairouz] King Saud Univ, Dept Math, POB 22452, Riyadh 11495, Saudi Arabia; [Ali, Ghous] Univ Educ, Div Sci &amp; Technol, Dept Math, Lahore 54770, Pakistan; [Gulzar, Muhammad] Govt Coll Univ Faisalabad, Dept Math, Faisalabad 38000, Pakistan; [Pamucar, Dragan] Univ Def Belgrade, Mil Acad, Dept Logist, Belgrade 11000, Serbia; [Ghorai, Ganesh] Vidyasagar Univ, Dept Appl Math Oceanol &amp; Comp Programming, Midnapore 721102, India</t>
  </si>
  <si>
    <t>King Saud University; Government College University Faisalabad; Vidyasagar University</t>
  </si>
  <si>
    <t>Pamucar, D (corresponding author), Univ Def Belgrade, Mil Acad, Dept Logist, Belgrade 11000, Serbia.</t>
  </si>
  <si>
    <t>10.3390/e23091176</t>
  </si>
  <si>
    <t>Chakraborty, Saurav; Novotny, Josef; Das, Jadab; Bardhan, Aditi; Roy, Srijanee; Mondal, Swikriti; Patel, Priyank Pravin; Santra, Sneha; Maity, Indranil; Biswas, Rimi; Maji, Aparajita; Pramanik, Suvamoy</t>
  </si>
  <si>
    <t>Geography matters for sanitation! Spatial heterogeneity of the district-level correlates of open defecation in India</t>
  </si>
  <si>
    <t>SINGAPORE JOURNAL OF TROPICAL GEOGRAPHY</t>
  </si>
  <si>
    <t>[Chakraborty, Saurav; Bardhan, Aditi; Roy, Srijanee; Mondal, Swikriti; Patel, Priyank Pravin; Santra, Sneha; Biswas, Rimi; Maji, Aparajita] Presidency Univ, Fac Nat &amp; Math Sci, Dept Geog, Kolkata, India; [Novotny, Josef] Charles Univ Prague, Dept Social Geog &amp; Reg Dev, Prague, Czech Republic; [Das, Jadab] Vidyasagar Univ, Dept Geog &amp; EM, Midnapore, India; [Maity, Indranil] Univ Calcutta, Dept Geog, Kolkata, India; [Pramanik, Suvamoy] Jawaharlal Nehru Univ, Ctr Study Reg Dev, New Delhi, India</t>
  </si>
  <si>
    <t>Presidency University, Kolkata; Charles University Prague; Vidyasagar University; University of Calcutta; Jawaharlal Nehru University, New Delhi</t>
  </si>
  <si>
    <t>Chakraborty, S (corresponding author), Presidency Univ, Fac Nat &amp; Math Sci, Dept Geog, Kolkata, India.</t>
  </si>
  <si>
    <t>0129-7619</t>
  </si>
  <si>
    <t>1467-9493</t>
  </si>
  <si>
    <t>SINGAPORE J TROP GEO</t>
  </si>
  <si>
    <t>Singap. J. Trop. Geogr.</t>
  </si>
  <si>
    <t>10.1111/sjtg.12402</t>
  </si>
  <si>
    <t>Hor, Papan K.; Ghosh, Kuntal; Halder, Suman K.; Soren, Jyoti P.; Goswami, Debabrata; Bera, Debabrata; Singh, Som Nath; Dwivedi, Sanjai K.; Parua, Saswati (Mondal); Hossain, Maidul; Mondal, Keshab C.</t>
  </si>
  <si>
    <t>Evaluation of nutrient profile, biochemical composition and anti-gastric ulcer potentialities of khambir, a leavened flat bread</t>
  </si>
  <si>
    <t>FOOD CHEMISTRY</t>
  </si>
  <si>
    <t>[Hor, Papan K.; Halder, Suman K.; Soren, Jyoti P.; Goswami, Debabrata; Mondal, Keshab C.] Vidyasagar Univ, Dept Microbiol, Midnapore 721102, W Bengal, India; [Ghosh, Kuntal] Midnapore City Coll, Dept Biol Sci, Midnapore 721129, W Bengal, India; [Goswami, Debabrata; Bera, Debabrata] Jadavpur Univ, Dept Food Technol &amp; Biochem Engn, Kolkata, W Bengal, India; [Singh, Som Nath] Def Inst Physiol &amp; Allied Sci, Div Nutr, Delhi 110054, India; [Dwivedi, Sanjai K.] Def Res &amp; Dev Org DRDO, DRL, Tezpur, Assam, India; [Parua, Saswati (Mondal)] Bajkul Milani Mahavidyalaya, Dept Physiol, Purba Medinipur, India; [Hossain, Maidul] Vidyasagar Univ, Dept Chem, Midnapore 721102, W Bengal, India</t>
  </si>
  <si>
    <t>Vidyasagar University; Jadavpur University; Defence Research &amp; Development Organisation (DRDO); Defence Institute of Physiology &amp; Allied Sciences (DIPAS); Defence Research &amp; Development Organisation (DRDO); Defence Research Laboratory (DRL); Vidyasagar University</t>
  </si>
  <si>
    <t>0308-8146</t>
  </si>
  <si>
    <t>1873-7072</t>
  </si>
  <si>
    <t>FOOD CHEM</t>
  </si>
  <si>
    <t>Food Chem.</t>
  </si>
  <si>
    <t>10.1016/j.foodchem.2020.128824</t>
  </si>
  <si>
    <t>Chemistry, Applied; Food Science &amp; Technology; Nutrition &amp; Dietetics</t>
  </si>
  <si>
    <t>Chemistry; Food Science &amp; Technology; Nutrition &amp; Dietetics</t>
  </si>
  <si>
    <t>Mandal, Manas Kumar; Barai, Manas; Manna, Emili; Sultana, Habiba; Ghosh, Raja; Musib, Dulal; Nag, Kaushik; Panda, Amiya Kumar</t>
  </si>
  <si>
    <t>Physicochemical studies on the interfacial and aggregation behavior of immidazolium- and pyrrolinidium-dodecyl sulfate in aqueous medium</t>
  </si>
  <si>
    <t>[Mandal, Manas Kumar; Barai, Manas; Manna, Emili; Sultana, Habiba; Panda, Amiya Kumar] Vidyasagar Univ, Dept Chem, Midnapore 721102, W Bengal, India; [Ghosh, Raja] Univ North Bengal, Dept Chem, Siliguri, India; [Musib, Dulal] Natl Inst Technol Manipur, Dept Chem, Imphal 795004, Manipur, India; [Nag, Kaushik] Mem Univ Newfoundland, Dept Biochem, St John, NF, Canada</t>
  </si>
  <si>
    <t>Vidyasagar University; University of North Bengal; National Institute of Technology (NIT System); National Institute of Technology Manipur; Memorial University Newfoundland</t>
  </si>
  <si>
    <t>10.1016/j.molliq.2021.116363</t>
  </si>
  <si>
    <t>Maiti, Arabinda; Zhang, Qi; Sannigrahi, Srikanta; Pramanik, Suvamoy; Chakraborti, Suman; Cerda, Artemi; Pilla, Francesco</t>
  </si>
  <si>
    <t>Exploring spatiotemporal effects of the driving factors on COVID-19 incidences in the contiguous United States'</t>
  </si>
  <si>
    <t>[Maiti, Arabinda] Vidyasagar Univ, Geog &amp; Environm Management, Midnapore, W Bengal, India; [Zhang, Qi] Boston Univ, Dept Earth &amp; Environm, Boston, MA 02215 USA; [Zhang, Qi] Boston Univ, Frederick S Pardee Sch Global Studies, Frederick S Pardee Ctr Study Longer Range Future, Boston, MA 02215 USA; [Sannigrahi, Srikanta; Pilla, Francesco] Univ Coll Dublin Richview, Sch Architecture Planning &amp; Environm Policy, D14 E099, Dublin, Ireland; [Pramanik, Suvamoy; Chakraborti, Suman] Jawaharlal Nehru Univ, Ctr Study Reg Dev, Delhi 110067, India; [Cerda, Artemi] Univ Valencia, Dept Geog, Soil Eros &amp; Degradat Res Grp, Blasco Ibanez 28, Valencia 46010, Spain</t>
  </si>
  <si>
    <t>Vidyasagar University; Boston University; Boston University; University College Dublin; Jawaharlal Nehru University, New Delhi; University of Valencia</t>
  </si>
  <si>
    <t>Sannigrahi, S (corresponding author), Univ Coll Dublin, Sch Architecture Planning &amp; Environm Policy, Dublin 4, Ireland.</t>
  </si>
  <si>
    <t>10.1016/j.scs.2021.102784</t>
  </si>
  <si>
    <t>Green Submitted, Green Published, hybrid</t>
  </si>
  <si>
    <t>Bera, Pradip; Aher, Abhishek; Brandao, Paula; Manna, Sunil Kumar; Bhattacharyya, Indranil; Pramanik, Chandana; Mandal, Basudev; Das, Satyabrata; Bera, Pulakesh</t>
  </si>
  <si>
    <t>Synthesis, structure elucidation and dft study of a new thiazole-pyridine anchored nnn donor and it's cobalt(II) complex: In-vitro antitumor activity against U937 cancer cells, dna binding property and molecular docking study</t>
  </si>
  <si>
    <t>[Bera, Pradip; Bhattacharyya, Indranil; Pramanik, Chandana; Mandal, Basudev; Bera, Pulakesh] Vidyasagar Univ, Panskura Banamali Coll Autonomous, Post Grad Dept Chem, Midnapore East 721152, W Bengal, India; [Aher, Abhishek; Manna, Sunil Kumar] Ctr DNA Fingerprinting &amp; Diagonost CDFD, Hyderabad 500039, Telengana, India; [Brandao, Paula] Univ Aveiro, Dept Chem, CICECO, P-3810193 Aveiro, Portugal; [Das, Satyabrata] CMR Inst Technol, Dept Chem, Bangalore 560037, Karnataka, India; [Bera, Pradip] Kandi Raj Coll, Dept Chem, Murshidabad 742137, W Bengal, India; [Pramanik, Chandana] Dinabandhu Andrews Coll, 54 Raja SC Mallik Rd,South 24 Parganas, Kolkata 700084, W Bengal, India; [Mandal, Basudev] Shahid Matangini Hazra Govt Coll Women, Midnapore East 721649, W Bengal, India</t>
  </si>
  <si>
    <t>Vidyasagar University; Department of Biotechnology (DBT) India; Centre for DNA Fingerprinting &amp; Diagnostics (CDFD); Universidade de Aveiro</t>
  </si>
  <si>
    <t>Bera, P (corresponding author), Vidyasagar Univ, Panskura Banamali Coll Autonomous, Post Grad Dept Chem, Midnapore East 721152, W Bengal, India.</t>
  </si>
  <si>
    <t>10.1016/j.molstruc.2020.129015</t>
  </si>
  <si>
    <t>Mahapatra, Rupkumar; Samanta, Sovan; Pal, Madhumangal; Lee, Jeong-Gon; Khan, Shah Khalid; Naseem, Usman; Bhadoria, Robin Singh</t>
  </si>
  <si>
    <t>Colouring of COVID-19 Affected Region Based on Fuzzy Directed Graphs</t>
  </si>
  <si>
    <t>CMC-COMPUTERS MATERIALS &amp; CONTINUA</t>
  </si>
  <si>
    <t>[Mahapatra, Rupkumar; Pal, Madhumangal] Vidyasagar Univ, Dept Appl Math Oceanol &amp; Comp Programming, Midnapore 721102, India; [Samanta, Sovan] Tamralipta Mahavidyalaya, Dept Math, Tamluk 721636, India; [Lee, Jeong-Gon] Wonkwang Univ, Div Appl Math, Iksan Si 54538, Jeonbuk, South Korea; [Khan, Shah Khalid] RMIT Univ, Sch Engn, Melbourne, Vic 3001, Australia; [Naseem, Usman] Univ Sydney, Sch Comp Sci, Sydney, NSW 2006, Australia; [Bhadoria, Robin Singh] Birla Inst Appl Sci BIAS, Dept Comp Sci &amp; Engn, Bhimtal 263136, Uttarakhand, India</t>
  </si>
  <si>
    <t>Vidyasagar University; Wonkwang University; Royal Melbourne Institute of Technology (RMIT); University of Sydney</t>
  </si>
  <si>
    <t>Lee, JG (corresponding author), Wonkwang Univ, Div Appl Math, Iksan Si 54538, Jeonbuk, South Korea.</t>
  </si>
  <si>
    <t>TECH SCIENCE PRESS</t>
  </si>
  <si>
    <t>HENDERSON</t>
  </si>
  <si>
    <t>871 CORONADO CENTER DR, SUTE 200, HENDERSON, NV 89052 USA</t>
  </si>
  <si>
    <t>1546-2218</t>
  </si>
  <si>
    <t>1546-2226</t>
  </si>
  <si>
    <t>CMC-COMPUT MATER CON</t>
  </si>
  <si>
    <t>CMC-Comput. Mat. Contin.</t>
  </si>
  <si>
    <t>10.32604/cmc.2021.015590</t>
  </si>
  <si>
    <t>Computer Science, Information Systems; Materials Science, Multidisciplinary</t>
  </si>
  <si>
    <t>Computer Science; Materials Science</t>
  </si>
  <si>
    <t>Bera, Pradip; Aher, Abhishek; Brandao, Paula; Manna, Sunil Kumar; Bhattacharyya, Indranil; Mondal, Gopinath; Jana, Abhimanyu; Santra, Ananyakumari; Bera, Pulakesh</t>
  </si>
  <si>
    <t>Anticancer activity, DNA binding and docking study of M(II)-complexes (M = Zn, Cu and Ni) derived from a new pyrazine-thiazole ligand: synthesis, structure and DFT</t>
  </si>
  <si>
    <t>[Bera, Pradip; Bhattacharyya, Indranil; Mondal, Gopinath; Jana, Abhimanyu; Santra, Ananyakumari; Bera, Pulakesh] Vidyasagar Univ, Panskura Banamali Coll, Post Grad Dept Chem, Midnapore East 721152, W Bengal, India; [Bera, Pradip] Kandi Raj Coll, Dept Chem, Murshidabad 742137, W Bengal, India; [Aher, Abhishek; Manna, Sunil Kumar] Ctr DNA Fingerprinting &amp; Diagnost CDFD, Hyderabad 500039, Telangana, India; [Aher, Abhishek] Reg Ctr Biotechnol, Grad Studies, Faridabad 121001, Haryana, India; [Brandao, Paula] Univ Aveiro, Dept Chem, CICECO, P-3810193 Aveiro, Portugal; [Manna, Sunil Kumar] Reg Ctr Biotechnol, Faridabad 121001, Haryana, India; [Jana, Abhimanyu] Indian Inst Engn Sci &amp; Technol, Dept Chem, Sibpur 711103, India</t>
  </si>
  <si>
    <t>Vidyasagar University; Department of Biotechnology (DBT) India; Centre for DNA Fingerprinting &amp; Diagnostics (CDFD); Department of Biotechnology (DBT) India; Regional Centre for Biotechnology; Universidade de Aveiro; Department of Biotechnology (DBT) India; Regional Centre for Biotechnology; Indian Institute of Engineering Science Technology Shibpur (IIEST)</t>
  </si>
  <si>
    <t>Bera, P (corresponding author), Vidyasagar Univ, Panskura Banamali Coll, Post Grad Dept Chem, Midnapore East 721152, W Bengal, India.;Manna, SK (corresponding author), Ctr DNA Fingerprinting &amp; Diagnost CDFD, Hyderabad 500039, Telangana, India.;Manna, SK (corresponding author), Reg Ctr Biotechnol, Faridabad 121001, Haryana, India.</t>
  </si>
  <si>
    <t>10.1039/d0nj05883a</t>
  </si>
  <si>
    <t>Saha, Urmila; Mabhai, Subhabrata; Das, Bhriguram; Kumar, Gopinatha Suresh; Brandao, Paula; Dolai, Malay</t>
  </si>
  <si>
    <t>Combined theoretical and experimental investigation of a DNA interactive poly-hydroxyl enamine tautomer exhibiting turn on sensing for Zn2+ in pseudo-aqueous medium</t>
  </si>
  <si>
    <t>[Saha, Urmila; Kumar, Gopinatha Suresh] CSIR Indian Inst Chem Biol, Organ &amp; Med Chem Div, 4 Raja SC Mullick Rd, Kolkata 700032, India; [Mabhai, Subhabrata] Mahishadal Raj Coll, Dept Chem, Purba Medinipur 721628, WB, India; [Das, Bhriguram] Vidyasagar Univ, Dept Chem, Paschim Medinipur 721102, WB, India; [Brandao, Paula] Univ Aveiro, CICECO Aveiro Inst Mat, Dept Chem, P-3810193 Aveiro, Portugal; [Dolai, Malay] Prabhat Kumar Coll, Dept Chem, Purba Medinipur 721404, WB, India; [Saha, Urmila] Presidency Univ, Dept Chem, 86-1 Coll St, Kolkata 700073, India</t>
  </si>
  <si>
    <t>Council of Scientific &amp; Industrial Research (CSIR) - India; CSIR - Indian Institute of Chemical Biology (IICB); Vidyasagar University; Universidade de Aveiro; Presidency University, Kolkata</t>
  </si>
  <si>
    <t>10.1039/d1nj03510j</t>
  </si>
  <si>
    <t>Jana, Abhimanyu; Aher, Abhishek; Brandao, Paula; Bera, Pradip; Sharda, Saphy; Phadikar, Ujjwal; Manna, Sunil Kumar; Mahapatra, Ajit Kumar; Bera, Pulakesh</t>
  </si>
  <si>
    <t>Evaluation of the anticancer activities with various ligand substituents in Co(II/III)-picolyl phenolate derivatives: synthesis, characterization, DFT, DNA cleavage, and molecular docking studies</t>
  </si>
  <si>
    <t>DALTON TRANSACTIONS</t>
  </si>
  <si>
    <t>[Jana, Abhimanyu; Bera, Pradip; Phadikar, Ujjwal; Bera, Pulakesh] Vidyasagar Univ, Post Grad Dept Chem, Panskura Banamali Coll Autonomous, Midnapore East 721152, W Bengal, India; [Jana, Abhimanyu; Mahapatra, Ajit Kumar] Indian Inst Engn Sci &amp; Technol, Dept Chem, Howrah 711103, W Bengal, India; [Aher, Abhishek; Sharda, Saphy; Manna, Sunil Kumar] Ctr DNA Fingerprinting &amp; Diagnost CDFD, Hyderabad 500039, Telangana, India; [Aher, Abhishek; Sharda, Saphy] Reg Ctr Biotechnol, Grad Studies, Faridabad 121001, Haryana, India; [Brandao, Paula] Univ Aveiro, Dept Chem, CICECO, P-3810193 Aveiro, Portugal; [Bera, Pradip] Kandi Raj Coll, Dept Chem, Murshidabad 742137, W Bengal, India; [Manna, Sunil Kumar] Adjunct Fac, Reg Ctr Biotechnol, Faridabad 121001, Haryana, India</t>
  </si>
  <si>
    <t>Vidyasagar University; Indian Institute of Engineering Science Technology Shibpur (IIEST); Department of Biotechnology (DBT) India; Centre for DNA Fingerprinting &amp; Diagnostics (CDFD); Department of Biotechnology (DBT) India; Regional Centre for Biotechnology; Universidade de Aveiro; Department of Biotechnology (DBT) India; Regional Centre for Biotechnology</t>
  </si>
  <si>
    <t>Bera, P (corresponding author), Vidyasagar Univ, Post Grad Dept Chem, Panskura Banamali Coll Autonomous, Midnapore East 721152, W Bengal, India.</t>
  </si>
  <si>
    <t>1477-9226</t>
  </si>
  <si>
    <t>1477-9234</t>
  </si>
  <si>
    <t>DALTON T</t>
  </si>
  <si>
    <t>Dalton Trans.</t>
  </si>
  <si>
    <t>10.1039/d1dt02825a</t>
  </si>
  <si>
    <t>Bandyopadhyay, Jatisankar; Mohammad, Lal; Mondal, Ismail; Maiti, Kunal Kanti; Al-Ansari, Nadhir; Pham, Quoc Bao; Khedher, Khaled Mohamed; Anh, Duong Tran</t>
  </si>
  <si>
    <t>Identification and characterization the sources of aerosols over Jharkhand state and surrounding areas, India using AHP model</t>
  </si>
  <si>
    <t>[Bandyopadhyay, Jatisankar; Mohammad, Lal; Maiti, Kunal Kanti] Vidyasagar Univ, Dept Remote Sensing GIS, Midnapore, India; [Bandyopadhyay, Jatisankar; Mohammad, Lal] Vidyasagar Univ, Ctr Environm Studies, Midnapore, India; [Mondal, Ismail] Indian Inst Engn Sci &amp; Technol, Dept Min Engn, Fac Geoinformat, Howrah, India; [Al-Ansari, Nadhir] Lulea Univ Technol, Dept Civil Environm &amp; Nat Resources Engn, Lulea, Sweden; [Pham, Quoc Bao] Thu Dau Mot Univ, Inst Appl Technol, Binh Duong, Vietnam; [Khedher, Khaled Mohamed] King Khalid Univ, Coll Engn, Dept Civil Engn, Abha, Saudi Arabia; [Khedher, Khaled Mohamed] Mrezgua Univ Campus, High Inst Technol Studies, Dept Civil Engn, Nabeul, Tunisia; [Anh, Duong Tran] Ho Chi Minh City Univ Technol HUTECH, Inst Appl Sci, 475A,Dien Bien Phu,Ward 25, Ho Chi Minh City, Vietnam</t>
  </si>
  <si>
    <t>Vidyasagar University; Vidyasagar University; Indian Institute of Engineering Science Technology Shibpur (IIEST); Lulea University of Technology; Thu Dau Mot University; King Khalid University; Ho Chi Minh City University of Technology (HUTECH)</t>
  </si>
  <si>
    <t>Anh, DT (corresponding author), Ho Chi Minh City Univ Technol HUTECH, Inst Appl Sci, 475A,Dien Bien Phu,Ward 25, Ho Chi Minh City, Vietnam.</t>
  </si>
  <si>
    <t>10.1080/19475705.2021.1949395</t>
  </si>
  <si>
    <t>Bhattacharjee, Satarupa; Bardhan, Munmun; Ghosh, Sourav; Banerjee, Aniruddha; Pal, Kunal; Guha, Aritra; Mondal, Dheeraj; Basu, Ruma; Das, Sukhen; Sinha, Sandip Kumar</t>
  </si>
  <si>
    <t>An in-vivo interpretation for validating the ameliorative efficacy of green synthesized MnO2 nano-conjugate using Carica Papaya (Papaya) leaf extract against acute hepatic damage</t>
  </si>
  <si>
    <t>[Bhattacharjee, Satarupa; Sinha, Sandip Kumar] Vidyasagar Univ, Dept Human Physiol Community Hlth, Paschim Medinipur 721102, W Bengal, India; [Bardhan, Munmun; Mondal, Dheeraj; Das, Sukhen] Jadavpur Univ, Dept Phys, 188 Raja Subodh Chandra Mullick Rd, Kolkata 700032, India; [Ghosh, Sourav] Univ Kalyani, Dept Biochem &amp; Biophys, Kalyani 741235, W Bengal, India; [Banerjee, Aniruddha] West Bengal Univ Anim &amp; Fishery Sci, Dept Vet Pathol, Kolkata 700037, W Bengal, India; [Pal, Kunal] Techno India Univ, Dept Biotechnol, EM Block,Sect 5, Kolkata 700091, W Bengal, India; [Guha, Aritra] Kurseongsub Divis Hosp, Dept Paediat, Darjeeling 734203, India; [Basu, Ruma] Jogamaya Devi Coll, Dept Phys, 26 SP Mukherjee Rd, Kolkata 700026, India</t>
  </si>
  <si>
    <t>Vidyasagar University; Jadavpur University; Kalyani University; West Bengal University of Animal &amp; Fishery Sciences</t>
  </si>
  <si>
    <t>Sinha, SK (corresponding author), Vidyasagar Univ, Dept Human Physiol Community Hlth, Paschim Medinipur 721102, W Bengal, India.</t>
  </si>
  <si>
    <t>10.1016/j.jddst.2021.102774</t>
  </si>
  <si>
    <t>Kayet, Narayan; Pathak, Khanindra; Kumar, Subodh; Singh, C. P.; Chowdary, V. M.; Chakrabarty, Abhisek; Sinha, Nibedita; Shaik, Ibrahim; Ghosh, Amit</t>
  </si>
  <si>
    <t>Deforestation susceptibility assessment and prediction in hilltop mining-affected forest region</t>
  </si>
  <si>
    <t>[Kayet, Narayan; Pathak, Khanindra; Kumar, Subodh] Indian Inst Technol, Dept Min Engn, Kharagpur, W Bengal, India; [Singh, C. P.] ISRO, Space Applicat Ctr SAC, Ahmadabad, Gujarat, India; [Chowdary, V. M.] ISRO, Reg Remote Sensing Ctr RRSC, Delhi, India; [Chakrabarty, Abhisek; Ghosh, Amit] Vidyasagar Univ, Midnapore, India; [Sinha, Nibedita] Univ Alaska Fairbanks, Fairbanks, AK USA; [Shaik, Ibrahim] ISRO, Natl Remote Sensing Ctr NRSC, Hyderabad, India</t>
  </si>
  <si>
    <t>Indian Institute of Technology System (IIT System); Indian Institute of Technology (IIT) - Kharagpur; Department of Space (DoS), Government of India; Indian Space Research Organisation (ISRO); Space Applications Centre (SAC); Department of Space (DoS), Government of India; Indian Space Research Organisation (ISRO); National Remote Sensing Centre (NRSC); Vidyasagar University; University of Alaska System; University of Alaska Fairbanks; Department of Space (DoS), Government of India; Indian Space Research Organisation (ISRO); National Remote Sensing Centre (NRSC)</t>
  </si>
  <si>
    <t>Kayet, N (corresponding author), Indian Inst Technol, Dept Min Engn, Kharagpur, W Bengal, India.</t>
  </si>
  <si>
    <t>10.1016/j.jenvman.2021.112504</t>
  </si>
  <si>
    <t>Chakraborty, Chiranjib; Sharma, Ashish Ranjan; Sharma, Garima; Bhattacharya, Manojit; Patra, Bidhan C.; Sarkar, Bimal Kumar; Banerjee, Saptarshi; Banerjee, Kankana; Lee, Sang-Soo</t>
  </si>
  <si>
    <t>Understanding the molecular evolution of tiger diversity through DNA barcoding marker ND4 and NADH dehydrogenase complex using computational biology</t>
  </si>
  <si>
    <t>GENES &amp; GENOMICS</t>
  </si>
  <si>
    <t>[Chakraborty, Chiranjib; Sharma, Ashish Ranjan; Bhattacharya, Manojit; Lee, Sang-Soo] Hallym Univ, Inst Skeletal Aging &amp; Orthoped Surg, Chuncheon Sacred Heart Hosp, Chunchon 200704, South Korea; [Chakraborty, Chiranjib] Adamas Univ, Dept Biotechnol, 24 Parganas, Kolkata 700126, W Bengal, India; [Sharma, Garima] Kangwon Natl Univ, Dept Biomed Sci, Chunchon 24341, South Korea; [Sharma, Garima] Kangwon Natl Univ, Inst Biosci &amp; Biotechnol, Chunchon 24341, South Korea; [Patra, Bidhan C.] Vidyasagar Univ, Dept Zool, Midnapore, W Bengal, India; [Sarkar, Bimal Kumar] Adamas Univ, Dept Phys, 24 Parganas, Kolkata, W Bengal, India; [Banerjee, Saptarshi; Banerjee, Kankana] VIT Univ, Sch Biosci &amp; Technol, Vellore 632014, Tamil Nadu, India; [Lee, Sang-Soo] Hallym Univ Hosp, Inst Skeletal Aging &amp; Orthoped Surg, Coll Med, Chuncheon Si 24252, Gangwon Do, South Korea</t>
  </si>
  <si>
    <t>Hallym University; Kangwon National University; Kangwon National University; Vidyasagar University; Vellore Institute of Technology (VIT); VIT Vellore; Hallym University</t>
  </si>
  <si>
    <t>Chakraborty, C; Lee, SS (corresponding author), Hallym Univ, Inst Skeletal Aging &amp; Orthoped Surg, Chuncheon Sacred Heart Hosp, Chunchon 200704, South Korea.;Chakraborty, C (corresponding author), Adamas Univ, Dept Biotechnol, 24 Parganas, Kolkata 700126, W Bengal, India.;Lee, SS (corresponding author), Hallym Univ Hosp, Inst Skeletal Aging &amp; Orthoped Surg, Coll Med, Chuncheon Si 24252, Gangwon Do, South Korea.</t>
  </si>
  <si>
    <t>1976-9571</t>
  </si>
  <si>
    <t>2092-9293</t>
  </si>
  <si>
    <t>GENES GENOM</t>
  </si>
  <si>
    <t>Genes Genom.</t>
  </si>
  <si>
    <t>10.1007/s13258-021-01089-w</t>
  </si>
  <si>
    <t>Biochemistry &amp; Molecular Biology; Biotechnology &amp; Applied Microbiology; Genetics &amp; Heredity</t>
  </si>
  <si>
    <t>Das, Sabyasachi; Kar, Amrita; Manna, Subhankar; Mandal, Samaresh; Mandal, Sayantani; Das, Subhasis; Saha, Bhaskar; Hati, Amiya Kumar</t>
  </si>
  <si>
    <t>Artemisinin combination therapy fails even in the absence of Plasmodium falciparum kelch13 gene polymorphism in Central India</t>
  </si>
  <si>
    <t>[Das, Sabyasachi] Manipal Univ, Coll Malaysia, Fac Med, Dept Physiol, Jalan Batu Hampar, Bukit Baru 75150, Melaka, Malaysia; [Das, Sabyasachi] Lincoln Univ Coll, Fac Med, Dept Physiol, Petaling Jaya, Selangor, Malaysia; [Das, Sabyasachi; Manna, Subhankar; Mandal, Samaresh] Vidyasagar Univ, Dept Human Physiol, Midnapore, W Bengal, India; [Kar, Amrita] Sastra Univ, Sch Chem &amp; Biotechnol, Ctr Res Infect Dis, Dept Biotechnol, Thanjavur, Tamil Nadu, India; [Mandal, Sayantani; Das, Subhasis] Medicare, Bhilai, Chhattisgarh, India; [Saha, Bhaskar] Natl Ctr Cell Sci, Lab 5, Pune, Maharashtra, India; [Hati, Amiya Kumar] Calcutta Sch Trop Med, Dept Med Entomol &amp; Parasitol, Kolkata, W Bengal, India</t>
  </si>
  <si>
    <t>Lincoln University College; Vidyasagar University; Shanmugha Arts, Science, Technology &amp; Research Academy (SASTRA); Department of Biotechnology (DBT) India; National Centre for Cell Science, Pune (NCCS); Calcutta School of Tropical Medicine (CSTM)</t>
  </si>
  <si>
    <t>Das, S (corresponding author), Manipal Univ, Coll Malaysia, Fac Med, Dept Physiol, Jalan Batu Hampar, Bukit Baru 75150, Melaka, Malaysia.</t>
  </si>
  <si>
    <t>10.1038/s41598-021-89295-0</t>
  </si>
  <si>
    <t>Barai, Manas; Manna, Emili; Sultana, Habiba; Mandal, Manas; Guchhait, Kartik; Manna, Tuhin; Patra, Anuttam; Chang, Chien-Hsiang; Moitra, Parikshit; Ghosh, Chandradipa; Larsson, Anna-Carin; Bhattacharya, Santanu; Panda, Amiya</t>
  </si>
  <si>
    <t>Micro-structural investigations on oppositely charged mixed surfactant gels with potential dermal applications</t>
  </si>
  <si>
    <t>[Barai, Manas; Sultana, Habiba; Mandal, Manas; Panda, Amiya] Vidyasagar Univ, Dept Chem, Midnapore 721102, W Bengal, India; [Manna, Emili] Vidyasagar Univ, Ctr Life Sci, Midnapore 721102, W Bengal, India; [Guchhait, Kartik; Manna, Tuhin; Ghosh, Chandradipa] Vidyasagar Univ, Dept Human Physiol, Midnapore 721102, W Bengal, India; [Patra, Anuttam; Larsson, Anna-Carin] Lulea Univ Technol, Chem Interfaces Grp, S-97187 Lulea, Sweden; [Chang, Chien-Hsiang] Natl Cheng Kung Univ, Dept Chem Engn, Tainan, Taiwan; [Moitra, Parikshit; Bhattacharya, Santanu] Indian Assoc Cultivat Sci, India &amp; Sch Appl &amp; Interdisciplinary Sci, Kolkata 700032, India; [Bhattacharya, Santanu] Indian Inst Sci, Dept Organ Chem, Bangalore 560012, Karnataka, India</t>
  </si>
  <si>
    <t>Vidyasagar University; Vidyasagar University; Vidyasagar University; Lulea University of Technology; National Cheng Kung University; Department of Science &amp; Technology (India); Indian Association for the Cultivation of Science (IACS) - Jadavpur; Indian Institute of Science (IISC) - Bangalore</t>
  </si>
  <si>
    <t>Panda, A (corresponding author), Vidyasagar Univ, Dept Chem, Midnapore 721102, W Bengal, India.</t>
  </si>
  <si>
    <t>10.1038/s41598-021-94777-2</t>
  </si>
  <si>
    <t>Acharya, Sagar; Chatterjee, Sirshendu; Chaudhuri, Suhnrita; Singh, Manoj Kumar; Bhattacharya, Debanjan; Bhattacharjee, Malabika; Ghosh, Anirban; Chaudhuri, Swapna</t>
  </si>
  <si>
    <t>Akt Phosphorylation Orchestrates T11TS Mediated Cell Cycle Arrest in Glioma Cells</t>
  </si>
  <si>
    <t>CANCER INVESTIGATION</t>
  </si>
  <si>
    <t>[Acharya, Sagar] Vidyasagar Univ, Dept Zool, Paschim Medinipur, Midnapore, India; [Singh, Manoj Kumar; Chaudhuri, Swapna] Sch Trop Med, Dept Lab Med, 108 CR Ave, Kolkata 700073, W Bengal, India; [Chatterjee, Sirshendu] Techno India Univ, Dept Biotechnol, Kolkata, India; [Chaudhuri, Suhnrita] 4D Pharma Res Ltd, Life, Aberdeen, Scotland; [Bhattacharya, Debanjan] Univ Cincinnati, Coll Med, Dept Neurol &amp; Rehabil Med, Cincinnati, OH USA; [Bhattacharjee, Malabika] Thakurpukur Vivekananda Coll, Dept Zool, Kolkata, India; [Ghosh, Anirban] Netaji Subhas Open Univ, Dept Zool, Kolkata, India; [Chaudhuri, Swapna] Chittaranjan Natl Canc Inst, Kolkata, India</t>
  </si>
  <si>
    <t>Vidyasagar University; Calcutta School of Tropical Medicine (CSTM); University System of Ohio; University of Cincinnati</t>
  </si>
  <si>
    <t>Chaudhuri, S (corresponding author), Sch Trop Med, Dept Lab Med, 108 CR Ave, Kolkata 700073, W Bengal, India.;Chaudhuri, S (corresponding author), Chittaranjan Natl Canc Inst, ICMR, 37 SP Mukherjee Rd, Kolkata 700026, W Bengal, India.</t>
  </si>
  <si>
    <t>0735-7907</t>
  </si>
  <si>
    <t>1532-4192</t>
  </si>
  <si>
    <t>CANCER INVEST</t>
  </si>
  <si>
    <t>Cancer Invest.</t>
  </si>
  <si>
    <t>10.1080/07357907.2021.1986060</t>
  </si>
  <si>
    <t>Oncology</t>
  </si>
  <si>
    <t>Dutta, Kunal; Elmezayen, Ammar D.; Al-Obaidi, Anas; Zhu, Wei; Morozova, Olga, V; Shityakov, Sergey; Khalifa, Ibrahim</t>
  </si>
  <si>
    <t>Seq12, Seq12m, and Seq13m, peptide analogues of the spike glycoprotein shows antiviral properties against SARS-CoV-2: An in silico study through molecular docking, molecular dynamics simulation, and MM-PB/GBSA calculations</t>
  </si>
  <si>
    <t>[Dutta, Kunal] Vidyasagar Univ, Dept Human Physiol, Midnapore 721102, W Bengal, India; [Elmezayen, Ammar D.; Al-Obaidi, Anas] Kadir Has Univ, Fac Engn &amp; Nat Sci, Dept Bioinformat &amp; Genet, TR-34083 Istanbul, Turkey; [Khalifa, Ibrahim] Benha Univ, Fac Agr, Food Technol Dept, Moshtohor 13736, Egypt; [Zhu, Wei] Huazhong Agr Univ, Coll Food Sci &amp; Technol, Key Lab Environm Correlat Food Sci, Minist Educ, Wuhan 430070, Peoples R China; [Morozova, Olga, V] IN Blokhina Nizhny Novgorod Res Inst Epidemiol &amp;, 71 Malaya Yamskaya Str, Nizhnii Novgorod 603950, Russia; [Shityakov, Sergey] ITMO Univ, Infochem Sci Ctr, Lab Chemoinformat, St Petersburg 191002, Russia</t>
  </si>
  <si>
    <t>Vidyasagar University; Kadir Has University; Egyptian Knowledge Bank (EKB); Benha University; Huazhong Agricultural University; Blokhina Scientific Research Institute of Epidemiology &amp; Microbiology; ITMO University</t>
  </si>
  <si>
    <t>10.1016/j.molstruc.2021.131113</t>
  </si>
  <si>
    <t>Das, Bhriguram; Dolai, Malay; Dhara, Anamika; Ghosh, Avijit; Mabhai, Subhabrata; Misra, Ajay; Dey, Satyajit; Jana, Atanu</t>
  </si>
  <si>
    <t>Solvent-Regulated Fluorimetric Differentiation of Al3+ and Zn2+ Using an AIE-Active Single Sensor</t>
  </si>
  <si>
    <t>JOURNAL OF PHYSICAL CHEMISTRY A</t>
  </si>
  <si>
    <t>[Das, Bhriguram; Misra, Ajay] Vidyasagar Univ, Dept Chem, Midnapore 721102, W Bengal, India; [Das, Bhriguram; Mabhai, Subhabrata; Dey, Satyajit] Tamralipta Mahavidyalaya, Dept Chem, Purba Medinipur 721636, India; [Dolai, Malay] Prabhat Kumar Coll, Dept Chem, Purba Medinipur 721404, W Bengal, India; [Dhara, Anamika] Jadavpur Univ, Dept Chem, Kolkata 700032, India; [Ghosh, Avijit] Univ Calcutta, Ctr Res Nanosci &amp; Nanotechnol, CRNN, Kolkata 700098, India; [Mabhai, Subhabrata] Mahisadal Raj Coll, Dept Chem, Purba Medinipur 721628, India; [Jana, Atanu] Dongguk Univ, Div Phys &amp; Semicond Sci, Seoul 04620, South Korea</t>
  </si>
  <si>
    <t>Vidyasagar University; Jadavpur University; University of Calcutta; Dongguk University</t>
  </si>
  <si>
    <t>Misra, A (corresponding author), Vidyasagar Univ, Dept Chem, Midnapore 721102, W Bengal, India.;Dey, S (corresponding author), Tamralipta Mahavidyalaya, Dept Chem, Purba Medinipur 721636, India.;Jana, A (corresponding author), Dongguk Univ, Div Phys &amp; Semicond Sci, Seoul 04620, South Korea.</t>
  </si>
  <si>
    <t>1089-5639</t>
  </si>
  <si>
    <t>1520-5215</t>
  </si>
  <si>
    <t>J PHYS CHEM A</t>
  </si>
  <si>
    <t>J. Phys. Chem. A</t>
  </si>
  <si>
    <t>10.1021/acs.jpca.0c10518</t>
  </si>
  <si>
    <t>Mabhai, Subhabrata; Dolai, Malay; Dey, Surya Kanta; Dhara, Anamika; Choudhury, Sujata Maiti; Das, Bhriguram; Dey, Satyajit; Jana, Atanu; Banerjee, Deb Ranjan</t>
  </si>
  <si>
    <t>A cell-compatible red light-emitting multianalyte chemosensor via three birds, one stone strategy</t>
  </si>
  <si>
    <t>[Mabhai, Subhabrata] Mahishadal Raj Coll, Dept Chem, Mahishadal 721628, W Bengal, India; [Dolai, Malay] Prabhat Kumar Coll, Dept Chem, Contai 721401, Purba Medinipur, India; [Dey, Surya Kanta; Choudhury, Sujata Maiti] Vidyasagar Univ, Dept Human Physiol Community Hlth, Medinipur 721102, W Bengal, India; [Dhara, Anamika] Jadavpur Univ, Dept Chem, Raja SC Mallick Rd, Kolkata 700032, India; [Das, Bhriguram] Vidyasagar Univ, Dept Chem &amp; Chem Technol, Medinipur 721102, W Bengal, India; [Mabhai, Subhabrata; Das, Bhriguram; Dey, Satyajit] Tamralipta Mahavidyalaya, Dept Chem, East Midnapore 721636, W Bengal, India; [Jana, Atanu] Dongguk Univ, Div Phys &amp; Semicond Sci, Seoul 04620, South Korea; [Mabhai, Subhabrata; Banerjee, Deb Ranjan] Natl Inst Technol Durgapur, Dept Chem, Durgapur 713209, W Bengal, India</t>
  </si>
  <si>
    <t>Vidyasagar University; Jadavpur University; Vidyasagar University; Dongguk University; National Institute of Technology (NIT System); National Institute of Technology Durgapur</t>
  </si>
  <si>
    <t>Dey, S (corresponding author), Tamralipta Mahavidyalaya, Dept Chem, East Midnapore 721636, W Bengal, India.;Jana, A (corresponding author), Dongguk Univ, Div Phys &amp; Semicond Sci, Seoul 04620, South Korea.;Banerjee, DR (corresponding author), Natl Inst Technol Durgapur, Dept Chem, Durgapur 713209, W Bengal, India.</t>
  </si>
  <si>
    <t>10.1016/j.jphotochem.2020.112889</t>
  </si>
  <si>
    <t>Mithun, Sk; Sahana, Mehebub; Chattopadhyay, Subrata; Johnson, Brian Alan; Khedher, Khaled Mohamed; Avtar, Ram</t>
  </si>
  <si>
    <t>Monitoring Metropolitan Growth Dynamics for Achieving Sustainable Urbanization (SDG 11.3) in Kolkata Metropolitan Area, India</t>
  </si>
  <si>
    <t>[Mithun, Sk] Vidyasagar Univ, Haldia Govt Coll, Dept Geog, Haldia 721657, India; [Sahana, Mehebub] Univ Manchester, Sch Environm Educ &amp; Dev, Manchester M13 9PL, Lancs, England; [Chattopadhyay, Subrata] Indian Inst Technol, Dept Architecture &amp; Reg Planning, Kharagpur 721302, W Bengal, India; [Johnson, Brian Alan] Inst Global Environm Strategies, Nat Resources &amp; Ecosyst Serv Area, Hayama, Kanagawa 2400115, Japan; [Khedher, Khaled Mohamed] King Khalid Univ, Dept Civil Engn, Coll Engn, Abha 61421, Saudi Arabia; [Khedher, Khaled Mohamed] Mrezgua Univ Campus, High Inst Technol Studies, Dept Civil Engn, Nabeul 8000, Tunisia; [Avtar, Ram] Hokkaido Univ, Fac Environm Earth Sci, Sapporo, Hokkaido 0600810, Japan</t>
  </si>
  <si>
    <t>Vidyasagar University; University of Manchester; Indian Institute of Technology System (IIT System); Indian Institute of Technology (IIT) - Kharagpur; King Khalid University; Hokkaido University</t>
  </si>
  <si>
    <t>Avtar, R (corresponding author), Hokkaido Univ, Fac Environm Earth Sci, Sapporo, Hokkaido 0600810, Japan.</t>
  </si>
  <si>
    <t>10.3390/rs13214423</t>
  </si>
  <si>
    <t>Chakraborty, Saurav; Pramanik, Suvamoy; Follmann, Alexander; Giri, Biswajit; Mondal, Biswajit; Patel, Priyank Pravin; Maity, Indranil; Das, Jadab; Punia, Milap; Sahana, Mehebub</t>
  </si>
  <si>
    <t>Dominant urban form and its relation to nighttime land surface temperature in the rapidly urbanizing National Capital Region of India</t>
  </si>
  <si>
    <t>[Chakraborty, Saurav; Patel, Priyank Pravin] Presidency Univ, Fac Nat &amp; Math Sci, Dept Geog, 86-1 Coll St, Kolkata 700073, W Bengal, India; [Pramanik, Suvamoy; Mondal, Biswajit; Punia, Milap] Jawaharlal Nehru Univ, Ctr Study Reg Dev, New Delhi, India; [Follmann, Alexander] Univ Cologne, Inst Geog, Cologne, Germany; [Giri, Biswajit] Jadavpur Univ, Computed Aided Design Ctr, Kolkata, India; [Maity, Indranil] Univ Calcutta, Dept Geog, Kolkata, India; [Das, Jadab] Vidyasagar Univ, Dept Geog &amp; EM, Midnapore, India; [Sahana, Mehebub] Univ Manchester, Sch Environm Educ &amp; Dev, Manchester, Lancs, England</t>
  </si>
  <si>
    <t>Presidency University, Kolkata; Jawaharlal Nehru University, New Delhi; University of Cologne; Jadavpur University; University of Calcutta; Vidyasagar University; University of Manchester</t>
  </si>
  <si>
    <t>Chakraborty, S (corresponding author), Presidency Univ, Fac Nat &amp; Math Sci, Dept Geog, 86-1 Coll St, Kolkata 700073, W Bengal, India.</t>
  </si>
  <si>
    <t>10.1016/j.uclim.2021.101002</t>
  </si>
  <si>
    <t>Tripathy, Bismay Ranjan; Liu, Xuehua; Songer, Melissa; Kumar, Lalit; Kaliraj, Senipandi; Das Chatterjee, Nilanjana; Wickramasinghe, W. M. S.; Mahanta, Kirti Kumar</t>
  </si>
  <si>
    <t>Descriptive Spatial Analysis of Human-Elephant Conflict (HEC) Distribution and Mapping HEC Hotspots in Keonjhar Forest Division, India</t>
  </si>
  <si>
    <t>FRONTIERS IN ECOLOGY AND EVOLUTION</t>
  </si>
  <si>
    <t>[Tripathy, Bismay Ranjan; Liu, Xuehua; Wickramasinghe, W. M. S.] Tsinghua Univ, Sch Environm, State Key Joint Lab Environm Simulat &amp; Pollut Con, Beijing, Peoples R China; [Songer, Melissa] Smithsonian Conservat Biol Inst, Conservat Ecol Ctr, Front Royal, VA USA; [Songer, Melissa] Natl Zoo, Front Royal, VA USA; [Kumar, Lalit] Univ New England, Sch Environm &amp; Rural Sci, Armidale, NSW, Australia; [Kaliraj, Senipandi] Natl Ctr Earth Sci Studies, Cent Geomat Lab, Akkulam, India; [Das Chatterjee, Nilanjana] Vidyasagar Univ, Dept Geog &amp; Environm Management, Midnapore, India; [Mahanta, Kirti Kumar] Punjab Remote Sensing Ctr, Ludhiana, Punjab, India</t>
  </si>
  <si>
    <t>Tsinghua University; Smithsonian Institution; Smithsonian National Zoological Park &amp; Conservation Biology Institute; University of New England; Ministry of Earth Sciences (MoES) - India; National Centre for Earth Science Studies (NCESS); Vidyasagar University</t>
  </si>
  <si>
    <t>Liu, XH (corresponding author), Tsinghua Univ, Sch Environm, State Key Joint Lab Environm Simulat &amp; Pollut Con, Beijing, Peoples R China.</t>
  </si>
  <si>
    <t>2296-701X</t>
  </si>
  <si>
    <t>FRONT ECOL EVOL</t>
  </si>
  <si>
    <t>Front. Ecol. Evol.</t>
  </si>
  <si>
    <t>10.3389/fevo.2021.640624</t>
  </si>
  <si>
    <t>Das, Bhriguram; Dolai, Malay; Ghosh, Avijit; Dhara, Anamika; Mahapatra, Ananya Das; Chattopadhyay, Debprasad; Mabhai, Subhabrata; Jana, Atanu; Dey, Satyajit; Misra, Ajay</t>
  </si>
  <si>
    <t>A bio-compatible pyridine-pyrazole hydrazide based compartmental receptor for Al3+ sensing and its application in cell imaging</t>
  </si>
  <si>
    <t>ANALYTICAL METHODS</t>
  </si>
  <si>
    <t>[Das, Bhriguram; Misra, Ajay] Vidyasagar Univ, Dept Chem, Midnapore, W Bengal, India; [Das, Bhriguram; Dey, Satyajit] Tamralipta Mahavidyalaya, Dept Chem, Purba Medinipur 721636, India; [Dolai, Malay] Prabhat Kumar Coll, Dept Chem, Purba Medinipur 721404, W Bengal, India; [Ghosh, Avijit] Univ Calcutta, Ctr Res Nanosci &amp; Nanotechnol, Technol Campus, Kolkata 700106, India; [Dhara, Anamika] Hiralal Mazumdar Mem Coll Women, Dept Chem, North 24 Parganas, Kolkata 700035, India; [Mahapatra, Ananya Das; Chattopadhyay, Debprasad] ICMR Virus Unit, ID &amp; BG Hosp Campus,57 Dr Suresh C Banerjee Rd, Kolkata 700010, India; [Chattopadhyay, Debprasad] ICMR Natl Inst Tradit Med, Belagavi 59001, Karnataka, India; [Mabhai, Subhabrata] Mahishadal Raj Coll, Dept Chem, Purba Medinipur 721628, India; [Jana, Atanu] Dongguk Univ, Div Phys &amp; Semicond Sci, Seoul 04620, South Korea</t>
  </si>
  <si>
    <t>Vidyasagar University; University of Calcutta; Indian Council of Medical Research (ICMR); ICMR - National Institute of Cholera &amp; Enteric Diseases (NICED); ICMR - Virus Unit, Kolkata; Indian Council of Medical Research (ICMR); ICMR - National Institute of Traditional Medicine (NITM); Dongguk University</t>
  </si>
  <si>
    <t>Misra, A (corresponding author), Vidyasagar Univ, Dept Chem, Midnapore, W Bengal, India.;Dey, S (corresponding author), Tamralipta Mahavidyalaya, Dept Chem, Purba Medinipur 721636, India.;Jana, A (corresponding author), Dongguk Univ, Div Phys &amp; Semicond Sci, Seoul 04620, South Korea.</t>
  </si>
  <si>
    <t>1759-9660</t>
  </si>
  <si>
    <t>1759-9679</t>
  </si>
  <si>
    <t>ANAL METHODS-UK</t>
  </si>
  <si>
    <t>Anal. Methods</t>
  </si>
  <si>
    <t>10.1039/d1ay00963j</t>
  </si>
  <si>
    <t>Chemistry, Analytical; Food Science &amp; Technology; Spectroscopy</t>
  </si>
  <si>
    <t>Chemistry; Food Science &amp; Technology; Spectroscopy</t>
  </si>
  <si>
    <t>Jain, Ajay; Poli, Yugandhar; Goud, Muddapuram Deeksha; Ravi, R. S. Drisya; Bhaskaran, Sinilal; Wang, Xiaowen; Das, Shabari Sarkar; Gupta, Swati; Jain, Rohit; Kachhwaha, Sumita; Sharma, Preeti; Gour, Vinod Singh; Sarkar, Ananda K.; V. Sahi, Shivendra; Kothari, Shanker Lal</t>
  </si>
  <si>
    <t>A comprehensive review on the biotechnological intervention for deciphering the pharmacological and other multifarious properties of miracle tree Moringa oleifera (vol 170, 113807, 2021)</t>
  </si>
  <si>
    <t>INDUSTRIAL CROPS AND PRODUCTS</t>
  </si>
  <si>
    <t>[Jain, Ajay; Goud, Muddapuram Deeksha; Sharma, Preeti; Gour, Vinod Singh; Kothari, Shanker Lal] Amity Univ Rajasthan, Amity Inst Biotechnol, Jaipur, Rajasthan, India; [Poli, Yugandhar] Indian Inst Rice Res, ICAR, Hyderabad 500030, India; [Ravi, R. S. Drisya] Univ Kerala, Dept Biotechnol, Trivandrum, Kerala, India; [Bhaskaran, Sinilal] Fatima Mata Natl Coll, Dept Bot, Kollam, Kerala, India; [Wang, Xiaowen] Nanjing Agr Univ, Coll Resources &amp; Environm Sci, Soil Ecol Lab, Nanjing, Peoples R China; [Das, Shabari Sarkar] Vidyasagar Univ, Dept Bot &amp; Forestry, Midnapore, W Bengal, India; [Gupta, Swati; Jain, Rohit] Manipal Univ Jaipur, Dept Biosci, Jaipur, Rajasthan, India; [Kachhwaha, Sumita] Univ Rajasthan, Dept Bot, Jaipur, Rajasthan, India; [Sarkar, Ananda K.] Jawaharlal Nehru Univ, Sch Life Sci, Plant Dev Biol, New Delhi 110067, India; [V. Sahi, Shivendra] Univ Sci, 600 South 43rd St, Philadelphia, PA 19104 USA</t>
  </si>
  <si>
    <t>Indian Council of Agricultural Research (ICAR); ICAR - Indian Institute of Rice Research; University of Kerala; Nanjing Agricultural University; Vidyasagar University; Manipal University Jaipur; University of Rajasthan; Jawaharlal Nehru University, New Delhi</t>
  </si>
  <si>
    <t>Kothari, SL (corresponding author), Amity Univ Rajasthan, Amity Inst Biotechnol, Jaipur, Rajasthan, India.</t>
  </si>
  <si>
    <t>0926-6690</t>
  </si>
  <si>
    <t>1872-633X</t>
  </si>
  <si>
    <t>IND CROP PROD</t>
  </si>
  <si>
    <t>Ind. Crop. Prod.</t>
  </si>
  <si>
    <t>10.1016/j.indcrop.2021.113904</t>
  </si>
  <si>
    <t>Agricultural Engineering; Agronomy</t>
  </si>
  <si>
    <t>Jain, Ajay; Poli, Yugandhar; Goud, Muddapuram Deeksha; Ravi, R. S. Drisya; Bhaskaran, Sinilal; Wang, Xiaowen; Das, Shabari Sarkar; Gupta, Swati; Jain, Rohit; Kachhwaha, Sumita; Sharma, Preeti; Gour, Vinod Singh; Sarkar, Ananda K.; Sahi, Shivendra, V; Kothari, Shanker Lal</t>
  </si>
  <si>
    <t>A comprehensive review on the biotechnological intervention for deciphering the pharmacological and other multifarious properties of miracle tree Moringa oleifera</t>
  </si>
  <si>
    <t>[Jain, Ajay; Goud, Muddapuram Deeksha; Sharma, Preeti; Gour, Vinod Singh; Kothari, Shanker Lal] Amity Univ Rajasthan, Amity Inst Biotechnol, Jaipur, Rajasthan, India; [Poli, Yugandhar] ICAR Indian Inst Rice Res, Hyderabad 500030, India; [Ravi, R. S. Drisya] Univ Kerala, Dept Biotechnol, Trivandrum, Kerala, India; [Bhaskaran, Sinilal] Fatima Mata Natl Coll, Dept Bot, Kollam, Kerala, India; [Wang, Xiaowen] Nanjing Agr Univ, Coll Resources &amp; Environm Sci, Soil Ecol Lab, Nanjing, Peoples R China; [Das, Shabari Sarkar] Vidyasagar Univ, Dept Bot &amp; Forestry, Midnapore, W Bengal, India; [Gupta, Swati; Jain, Rohit] Manipal Univ Jaipur, Dept Biosci, Jaipur, Rajasthan, India; [Kachhwaha, Sumita] Univ Rajasthan, Dept Bot, Jaipur, Rajasthan, India; [Sarkar, Ananda K.] Jawaharlal Nehru Univ, Sch Life Sci, Plant Dev Biol, New Delhi 110067, India; [Sahi, Shivendra, V] Univ Sci, 600 South 43rd St, Philadelphia, PA 19104 USA</t>
  </si>
  <si>
    <t>10.1016/j.indcrop.2021.113807</t>
  </si>
  <si>
    <t>Mallick, Suraj Kumar; Das, Pritiranjan; Maity, Biswajit; Rudra, Somnath; Pramanik, Malay; Pradhan, Biswajeet; Sahana, Mehebub</t>
  </si>
  <si>
    <t>Understanding future urban growth, urban resilience and sustainable development of small cities using prediction-adaptation-resilience (PAR) approach</t>
  </si>
  <si>
    <t>[Mallick, Suraj Kumar; Das, Pritiranjan; Maity, Biswajit; Rudra, Somnath] Vidyasagar Univ, Dept Geog, Midnapore 721102, W Bengal, India; [Pramanik, Malay] Tata Inst Social Sci, Jamsetji Tata Sch Disaster Studies, Ctr Geo Informat, Mumbai 400088, Maharashtra, India; [Pramanik, Malay] Asian Inst Technol AIT, Sch Environm Resources &amp; Dev, Dept Dev &amp; Sustainabil, POB 4, Klongluang 12120, Pathumthani, Thailand; [Pradhan, Biswajeet] Univ Technol Sydney, Ctr Adv Modelling &amp; Geospatial Informat Syst CAMG, Fac Engn &amp; IT, Sydney, NSW 2007, Australia; [Pradhan, Biswajeet] Sejong Univ, Dept Energy &amp; Mineral Resources Engn, 209 Neungdong Ro, Seoul 05006, South Korea; [Pradhan, Biswajeet] Univ Kebangsaan Malaysia, Inst Climate Change, Earth Observat Ctr, Bangi 43600, Selangor, Malaysia; [Sahana, Mehebub] Univ Manchester, Sch Environm Educ &amp; Dev, Manchester, Lancs, England</t>
  </si>
  <si>
    <t>Vidyasagar University; Tata Institute of Social Sciences; Asian Institute of Technology; University of Technology Sydney; Sejong University; Universiti Kebangsaan Malaysia; University of Manchester</t>
  </si>
  <si>
    <t>10.1016/j.scs.2021.103196</t>
  </si>
  <si>
    <t>Adhikari, Aniruddha; Mondal, Susmita; Chatterjee, Tanima; Das, Monojit; Biswas, Pritam; Ghosh, Ria; Darbar, Soumendra; Alessa, Hussain; Althakafy, Jalal T.; Sayqal, Ali; Ahmed, Saleh A.; Das, Anjan Kumar; Bhattacharyya, Maitree; Pal, Samir Kumar</t>
  </si>
  <si>
    <t>Redox nanomedicine ameliorates chronic kidney disease (CKD) by mitochondrial reconditioning in mice</t>
  </si>
  <si>
    <t>[Adhikari, Aniruddha; Mondal, Susmita; Pal, Samir Kumar] SN Bose Natl Ctr Basic Sci, Dept Chem Biol &amp; Macromol Sci, Kolkata, India; [Chatterjee, Tanima; Ghosh, Ria; Bhattacharyya, Maitree] Univ Calcutta, Dept Biochem, Kolkata, India; [Das, Monojit; Pal, Samir Kumar] Univ Calcutta, Uluberia Coll, Dept Zool, Uluberia, Howrah, India; [Das, Monojit] Vidyasagar Univ, Dept Zool, Rangamati, Midnapore, India; [Biswas, Pritam] St Xaviers Coll, Dept Microbiol, Kolkata, India; [Darbar, Soumendra] Deys Med Stores Mfg Ltd, Res &amp; Dev Div, Kolkata, India; [Alessa, Hussain; Althakafy, Jalal T.; Sayqal, Ali; Ahmed, Saleh A.] Umm Al Qura Univ, Fac Appl Sci, Dept Chem, Mecca, Saudi Arabia; [Ahmed, Saleh A.] Assiut Univ, Fac Sci, Chem Dept, Assiut, Egypt; [Das, Anjan Kumar] Calcutta Natl Med Coll &amp; Hosp, Dept Pathol, Kolkata, India</t>
  </si>
  <si>
    <t>Department of Science &amp; Technology (India); SN Bose National Centre for Basic Science (SNBNCBS); University of Calcutta; University of Calcutta; Vidyasagar University; St. Xavier's College Kolkata; Umm Al Qura University; Egyptian Knowledge Bank (EKB); Assiut University</t>
  </si>
  <si>
    <t>Pal, SK (corresponding author), SN Bose Natl Ctr Basic Sci, Dept Chem Biol &amp; Macromol Sci, Kolkata, India.;Pal, SK (corresponding author), Univ Calcutta, Uluberia Coll, Dept Zool, Uluberia, Howrah, India.</t>
  </si>
  <si>
    <t>10.1038/s42003-021-02546-8</t>
  </si>
  <si>
    <t>Green Submitted, Green Published, gold</t>
  </si>
  <si>
    <t>Times Cited</t>
  </si>
  <si>
    <t>2025-03-06</t>
  </si>
  <si>
    <t>JUN 2021</t>
  </si>
  <si>
    <t>AUG 2021</t>
  </si>
  <si>
    <t>MAY 2021</t>
  </si>
  <si>
    <t>DEC 2021</t>
  </si>
  <si>
    <t>OCT 2021</t>
  </si>
  <si>
    <t>NOV 2021</t>
  </si>
  <si>
    <t>FEB 2021</t>
  </si>
  <si>
    <t>MAR 2021</t>
  </si>
  <si>
    <t>JAN 2021</t>
  </si>
  <si>
    <t>SEP 2021</t>
  </si>
  <si>
    <t>APR 2021</t>
  </si>
  <si>
    <t>MAR 2</t>
  </si>
  <si>
    <t>JUL 2021</t>
  </si>
  <si>
    <t>AUG 18</t>
  </si>
  <si>
    <t>FEB 4</t>
  </si>
  <si>
    <t>MAR 14</t>
  </si>
  <si>
    <t>JUN 5</t>
  </si>
  <si>
    <t>OCT 13</t>
  </si>
  <si>
    <t>MAR 12</t>
  </si>
  <si>
    <t>AUG 10</t>
  </si>
  <si>
    <t>MAY 26</t>
  </si>
  <si>
    <t>JUN 9</t>
  </si>
  <si>
    <t>10-11</t>
  </si>
  <si>
    <t>SEP 10</t>
  </si>
  <si>
    <t>SEP 3</t>
  </si>
  <si>
    <t>NOV 24</t>
  </si>
  <si>
    <t>APR 25</t>
  </si>
  <si>
    <t>MAY 31</t>
  </si>
  <si>
    <t>JAN 11</t>
  </si>
  <si>
    <t>NOV 30</t>
  </si>
  <si>
    <t>JUN 17</t>
  </si>
  <si>
    <t>JAN 31</t>
  </si>
  <si>
    <t>JUN 7</t>
  </si>
  <si>
    <t>DEC 3</t>
  </si>
  <si>
    <t>JAN 14</t>
  </si>
  <si>
    <t>JUL 20</t>
  </si>
  <si>
    <t>FEB 3</t>
  </si>
  <si>
    <t>JUN 25</t>
  </si>
  <si>
    <t>9-10</t>
  </si>
  <si>
    <t>FEB 17</t>
  </si>
  <si>
    <t>OCT 31</t>
  </si>
  <si>
    <t>OCT 20</t>
  </si>
  <si>
    <t>MAY 30</t>
  </si>
  <si>
    <t>JUL 21</t>
  </si>
  <si>
    <t>MAY 11</t>
  </si>
  <si>
    <t>NOV 26</t>
  </si>
  <si>
    <t>FEB 25</t>
  </si>
  <si>
    <t>AUG 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</si>
</sst>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4"/>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1"/>
  <sheetViews>
    <sheetView tabSelected="1" workbookViewId="0">
      <pane ySplit="1" topLeftCell="A2" activePane="bottomLeft" state="frozen"/>
      <selection pane="bottomLeft" sqref="A1:XFD1048576"/>
    </sheetView>
  </sheetViews>
  <sheetFormatPr defaultRowHeight="18.5" x14ac:dyDescent="0.45"/>
  <cols>
    <col min="1" max="8" width="8.90625" style="1"/>
    <col min="9" max="12" width="9.08984375" style="1" bestFit="1" customWidth="1"/>
    <col min="13" max="21" width="8.90625" style="1"/>
    <col min="22" max="26" width="9.08984375" style="1" bestFit="1" customWidth="1"/>
    <col min="27" max="28" width="8.90625" style="1"/>
    <col min="29" max="30" width="9.08984375" style="1" bestFit="1" customWidth="1"/>
    <col min="31" max="31" width="15.54296875" style="1" bestFit="1" customWidth="1"/>
    <col min="32" max="35" width="8.90625" style="1"/>
    <col min="36" max="36" width="9.08984375" style="1" bestFit="1" customWidth="1"/>
    <col min="37" max="39" width="8.90625" style="1"/>
    <col min="40" max="40" width="11.6328125" style="1" bestFit="1" customWidth="1"/>
    <col min="41" max="260" width="8.90625" style="1"/>
    <col min="261" max="265" width="9.08984375" style="1" bestFit="1" customWidth="1"/>
    <col min="266" max="274" width="8.90625" style="1"/>
    <col min="275" max="279" width="9.08984375" style="1" bestFit="1" customWidth="1"/>
    <col min="280" max="281" width="8.90625" style="1"/>
    <col min="282" max="283" width="9.08984375" style="1" bestFit="1" customWidth="1"/>
    <col min="284" max="284" width="15.54296875" style="1" bestFit="1" customWidth="1"/>
    <col min="285" max="288" width="8.90625" style="1"/>
    <col min="289" max="289" width="9.08984375" style="1" bestFit="1" customWidth="1"/>
    <col min="290" max="293" width="8.90625" style="1"/>
    <col min="294" max="294" width="11.6328125" style="1" bestFit="1" customWidth="1"/>
    <col min="295" max="516" width="8.90625" style="1"/>
    <col min="517" max="521" width="9.08984375" style="1" bestFit="1" customWidth="1"/>
    <col min="522" max="530" width="8.90625" style="1"/>
    <col min="531" max="535" width="9.08984375" style="1" bestFit="1" customWidth="1"/>
    <col min="536" max="537" width="8.90625" style="1"/>
    <col min="538" max="539" width="9.08984375" style="1" bestFit="1" customWidth="1"/>
    <col min="540" max="540" width="15.54296875" style="1" bestFit="1" customWidth="1"/>
    <col min="541" max="544" width="8.90625" style="1"/>
    <col min="545" max="545" width="9.08984375" style="1" bestFit="1" customWidth="1"/>
    <col min="546" max="549" width="8.90625" style="1"/>
    <col min="550" max="550" width="11.6328125" style="1" bestFit="1" customWidth="1"/>
    <col min="551" max="772" width="8.90625" style="1"/>
    <col min="773" max="777" width="9.08984375" style="1" bestFit="1" customWidth="1"/>
    <col min="778" max="786" width="8.90625" style="1"/>
    <col min="787" max="791" width="9.08984375" style="1" bestFit="1" customWidth="1"/>
    <col min="792" max="793" width="8.90625" style="1"/>
    <col min="794" max="795" width="9.08984375" style="1" bestFit="1" customWidth="1"/>
    <col min="796" max="796" width="15.54296875" style="1" bestFit="1" customWidth="1"/>
    <col min="797" max="800" width="8.90625" style="1"/>
    <col min="801" max="801" width="9.08984375" style="1" bestFit="1" customWidth="1"/>
    <col min="802" max="805" width="8.90625" style="1"/>
    <col min="806" max="806" width="11.6328125" style="1" bestFit="1" customWidth="1"/>
    <col min="807" max="1028" width="8.90625" style="1"/>
    <col min="1029" max="1033" width="9.08984375" style="1" bestFit="1" customWidth="1"/>
    <col min="1034" max="1042" width="8.90625" style="1"/>
    <col min="1043" max="1047" width="9.08984375" style="1" bestFit="1" customWidth="1"/>
    <col min="1048" max="1049" width="8.90625" style="1"/>
    <col min="1050" max="1051" width="9.08984375" style="1" bestFit="1" customWidth="1"/>
    <col min="1052" max="1052" width="15.54296875" style="1" bestFit="1" customWidth="1"/>
    <col min="1053" max="1056" width="8.90625" style="1"/>
    <col min="1057" max="1057" width="9.08984375" style="1" bestFit="1" customWidth="1"/>
    <col min="1058" max="1061" width="8.90625" style="1"/>
    <col min="1062" max="1062" width="11.6328125" style="1" bestFit="1" customWidth="1"/>
    <col min="1063" max="1284" width="8.90625" style="1"/>
    <col min="1285" max="1289" width="9.08984375" style="1" bestFit="1" customWidth="1"/>
    <col min="1290" max="1298" width="8.90625" style="1"/>
    <col min="1299" max="1303" width="9.08984375" style="1" bestFit="1" customWidth="1"/>
    <col min="1304" max="1305" width="8.90625" style="1"/>
    <col min="1306" max="1307" width="9.08984375" style="1" bestFit="1" customWidth="1"/>
    <col min="1308" max="1308" width="15.54296875" style="1" bestFit="1" customWidth="1"/>
    <col min="1309" max="1312" width="8.90625" style="1"/>
    <col min="1313" max="1313" width="9.08984375" style="1" bestFit="1" customWidth="1"/>
    <col min="1314" max="1317" width="8.90625" style="1"/>
    <col min="1318" max="1318" width="11.6328125" style="1" bestFit="1" customWidth="1"/>
    <col min="1319" max="1540" width="8.90625" style="1"/>
    <col min="1541" max="1545" width="9.08984375" style="1" bestFit="1" customWidth="1"/>
    <col min="1546" max="1554" width="8.90625" style="1"/>
    <col min="1555" max="1559" width="9.08984375" style="1" bestFit="1" customWidth="1"/>
    <col min="1560" max="1561" width="8.90625" style="1"/>
    <col min="1562" max="1563" width="9.08984375" style="1" bestFit="1" customWidth="1"/>
    <col min="1564" max="1564" width="15.54296875" style="1" bestFit="1" customWidth="1"/>
    <col min="1565" max="1568" width="8.90625" style="1"/>
    <col min="1569" max="1569" width="9.08984375" style="1" bestFit="1" customWidth="1"/>
    <col min="1570" max="1573" width="8.90625" style="1"/>
    <col min="1574" max="1574" width="11.6328125" style="1" bestFit="1" customWidth="1"/>
    <col min="1575" max="1796" width="8.90625" style="1"/>
    <col min="1797" max="1801" width="9.08984375" style="1" bestFit="1" customWidth="1"/>
    <col min="1802" max="1810" width="8.90625" style="1"/>
    <col min="1811" max="1815" width="9.08984375" style="1" bestFit="1" customWidth="1"/>
    <col min="1816" max="1817" width="8.90625" style="1"/>
    <col min="1818" max="1819" width="9.08984375" style="1" bestFit="1" customWidth="1"/>
    <col min="1820" max="1820" width="15.54296875" style="1" bestFit="1" customWidth="1"/>
    <col min="1821" max="1824" width="8.90625" style="1"/>
    <col min="1825" max="1825" width="9.08984375" style="1" bestFit="1" customWidth="1"/>
    <col min="1826" max="1829" width="8.90625" style="1"/>
    <col min="1830" max="1830" width="11.6328125" style="1" bestFit="1" customWidth="1"/>
    <col min="1831" max="2052" width="8.90625" style="1"/>
    <col min="2053" max="2057" width="9.08984375" style="1" bestFit="1" customWidth="1"/>
    <col min="2058" max="2066" width="8.90625" style="1"/>
    <col min="2067" max="2071" width="9.08984375" style="1" bestFit="1" customWidth="1"/>
    <col min="2072" max="2073" width="8.90625" style="1"/>
    <col min="2074" max="2075" width="9.08984375" style="1" bestFit="1" customWidth="1"/>
    <col min="2076" max="2076" width="15.54296875" style="1" bestFit="1" customWidth="1"/>
    <col min="2077" max="2080" width="8.90625" style="1"/>
    <col min="2081" max="2081" width="9.08984375" style="1" bestFit="1" customWidth="1"/>
    <col min="2082" max="2085" width="8.90625" style="1"/>
    <col min="2086" max="2086" width="11.6328125" style="1" bestFit="1" customWidth="1"/>
    <col min="2087" max="2308" width="8.90625" style="1"/>
    <col min="2309" max="2313" width="9.08984375" style="1" bestFit="1" customWidth="1"/>
    <col min="2314" max="2322" width="8.90625" style="1"/>
    <col min="2323" max="2327" width="9.08984375" style="1" bestFit="1" customWidth="1"/>
    <col min="2328" max="2329" width="8.90625" style="1"/>
    <col min="2330" max="2331" width="9.08984375" style="1" bestFit="1" customWidth="1"/>
    <col min="2332" max="2332" width="15.54296875" style="1" bestFit="1" customWidth="1"/>
    <col min="2333" max="2336" width="8.90625" style="1"/>
    <col min="2337" max="2337" width="9.08984375" style="1" bestFit="1" customWidth="1"/>
    <col min="2338" max="2341" width="8.90625" style="1"/>
    <col min="2342" max="2342" width="11.6328125" style="1" bestFit="1" customWidth="1"/>
    <col min="2343" max="2564" width="8.90625" style="1"/>
    <col min="2565" max="2569" width="9.08984375" style="1" bestFit="1" customWidth="1"/>
    <col min="2570" max="2578" width="8.90625" style="1"/>
    <col min="2579" max="2583" width="9.08984375" style="1" bestFit="1" customWidth="1"/>
    <col min="2584" max="2585" width="8.90625" style="1"/>
    <col min="2586" max="2587" width="9.08984375" style="1" bestFit="1" customWidth="1"/>
    <col min="2588" max="2588" width="15.54296875" style="1" bestFit="1" customWidth="1"/>
    <col min="2589" max="2592" width="8.90625" style="1"/>
    <col min="2593" max="2593" width="9.08984375" style="1" bestFit="1" customWidth="1"/>
    <col min="2594" max="2597" width="8.90625" style="1"/>
    <col min="2598" max="2598" width="11.6328125" style="1" bestFit="1" customWidth="1"/>
    <col min="2599" max="2820" width="8.90625" style="1"/>
    <col min="2821" max="2825" width="9.08984375" style="1" bestFit="1" customWidth="1"/>
    <col min="2826" max="2834" width="8.90625" style="1"/>
    <col min="2835" max="2839" width="9.08984375" style="1" bestFit="1" customWidth="1"/>
    <col min="2840" max="2841" width="8.90625" style="1"/>
    <col min="2842" max="2843" width="9.08984375" style="1" bestFit="1" customWidth="1"/>
    <col min="2844" max="2844" width="15.54296875" style="1" bestFit="1" customWidth="1"/>
    <col min="2845" max="2848" width="8.90625" style="1"/>
    <col min="2849" max="2849" width="9.08984375" style="1" bestFit="1" customWidth="1"/>
    <col min="2850" max="2853" width="8.90625" style="1"/>
    <col min="2854" max="2854" width="11.6328125" style="1" bestFit="1" customWidth="1"/>
    <col min="2855" max="3076" width="8.90625" style="1"/>
    <col min="3077" max="3081" width="9.08984375" style="1" bestFit="1" customWidth="1"/>
    <col min="3082" max="3090" width="8.90625" style="1"/>
    <col min="3091" max="3095" width="9.08984375" style="1" bestFit="1" customWidth="1"/>
    <col min="3096" max="3097" width="8.90625" style="1"/>
    <col min="3098" max="3099" width="9.08984375" style="1" bestFit="1" customWidth="1"/>
    <col min="3100" max="3100" width="15.54296875" style="1" bestFit="1" customWidth="1"/>
    <col min="3101" max="3104" width="8.90625" style="1"/>
    <col min="3105" max="3105" width="9.08984375" style="1" bestFit="1" customWidth="1"/>
    <col min="3106" max="3109" width="8.90625" style="1"/>
    <col min="3110" max="3110" width="11.6328125" style="1" bestFit="1" customWidth="1"/>
    <col min="3111" max="3332" width="8.90625" style="1"/>
    <col min="3333" max="3337" width="9.08984375" style="1" bestFit="1" customWidth="1"/>
    <col min="3338" max="3346" width="8.90625" style="1"/>
    <col min="3347" max="3351" width="9.08984375" style="1" bestFit="1" customWidth="1"/>
    <col min="3352" max="3353" width="8.90625" style="1"/>
    <col min="3354" max="3355" width="9.08984375" style="1" bestFit="1" customWidth="1"/>
    <col min="3356" max="3356" width="15.54296875" style="1" bestFit="1" customWidth="1"/>
    <col min="3357" max="3360" width="8.90625" style="1"/>
    <col min="3361" max="3361" width="9.08984375" style="1" bestFit="1" customWidth="1"/>
    <col min="3362" max="3365" width="8.90625" style="1"/>
    <col min="3366" max="3366" width="11.6328125" style="1" bestFit="1" customWidth="1"/>
    <col min="3367" max="3588" width="8.90625" style="1"/>
    <col min="3589" max="3593" width="9.08984375" style="1" bestFit="1" customWidth="1"/>
    <col min="3594" max="3602" width="8.90625" style="1"/>
    <col min="3603" max="3607" width="9.08984375" style="1" bestFit="1" customWidth="1"/>
    <col min="3608" max="3609" width="8.90625" style="1"/>
    <col min="3610" max="3611" width="9.08984375" style="1" bestFit="1" customWidth="1"/>
    <col min="3612" max="3612" width="15.54296875" style="1" bestFit="1" customWidth="1"/>
    <col min="3613" max="3616" width="8.90625" style="1"/>
    <col min="3617" max="3617" width="9.08984375" style="1" bestFit="1" customWidth="1"/>
    <col min="3618" max="3621" width="8.90625" style="1"/>
    <col min="3622" max="3622" width="11.6328125" style="1" bestFit="1" customWidth="1"/>
    <col min="3623" max="3844" width="8.90625" style="1"/>
    <col min="3845" max="3849" width="9.08984375" style="1" bestFit="1" customWidth="1"/>
    <col min="3850" max="3858" width="8.90625" style="1"/>
    <col min="3859" max="3863" width="9.08984375" style="1" bestFit="1" customWidth="1"/>
    <col min="3864" max="3865" width="8.90625" style="1"/>
    <col min="3866" max="3867" width="9.08984375" style="1" bestFit="1" customWidth="1"/>
    <col min="3868" max="3868" width="15.54296875" style="1" bestFit="1" customWidth="1"/>
    <col min="3869" max="3872" width="8.90625" style="1"/>
    <col min="3873" max="3873" width="9.08984375" style="1" bestFit="1" customWidth="1"/>
    <col min="3874" max="3877" width="8.90625" style="1"/>
    <col min="3878" max="3878" width="11.6328125" style="1" bestFit="1" customWidth="1"/>
    <col min="3879" max="4100" width="8.90625" style="1"/>
    <col min="4101" max="4105" width="9.08984375" style="1" bestFit="1" customWidth="1"/>
    <col min="4106" max="4114" width="8.90625" style="1"/>
    <col min="4115" max="4119" width="9.08984375" style="1" bestFit="1" customWidth="1"/>
    <col min="4120" max="4121" width="8.90625" style="1"/>
    <col min="4122" max="4123" width="9.08984375" style="1" bestFit="1" customWidth="1"/>
    <col min="4124" max="4124" width="15.54296875" style="1" bestFit="1" customWidth="1"/>
    <col min="4125" max="4128" width="8.90625" style="1"/>
    <col min="4129" max="4129" width="9.08984375" style="1" bestFit="1" customWidth="1"/>
    <col min="4130" max="4133" width="8.90625" style="1"/>
    <col min="4134" max="4134" width="11.6328125" style="1" bestFit="1" customWidth="1"/>
    <col min="4135" max="4356" width="8.90625" style="1"/>
    <col min="4357" max="4361" width="9.08984375" style="1" bestFit="1" customWidth="1"/>
    <col min="4362" max="4370" width="8.90625" style="1"/>
    <col min="4371" max="4375" width="9.08984375" style="1" bestFit="1" customWidth="1"/>
    <col min="4376" max="4377" width="8.90625" style="1"/>
    <col min="4378" max="4379" width="9.08984375" style="1" bestFit="1" customWidth="1"/>
    <col min="4380" max="4380" width="15.54296875" style="1" bestFit="1" customWidth="1"/>
    <col min="4381" max="4384" width="8.90625" style="1"/>
    <col min="4385" max="4385" width="9.08984375" style="1" bestFit="1" customWidth="1"/>
    <col min="4386" max="4389" width="8.90625" style="1"/>
    <col min="4390" max="4390" width="11.6328125" style="1" bestFit="1" customWidth="1"/>
    <col min="4391" max="4612" width="8.90625" style="1"/>
    <col min="4613" max="4617" width="9.08984375" style="1" bestFit="1" customWidth="1"/>
    <col min="4618" max="4626" width="8.90625" style="1"/>
    <col min="4627" max="4631" width="9.08984375" style="1" bestFit="1" customWidth="1"/>
    <col min="4632" max="4633" width="8.90625" style="1"/>
    <col min="4634" max="4635" width="9.08984375" style="1" bestFit="1" customWidth="1"/>
    <col min="4636" max="4636" width="15.54296875" style="1" bestFit="1" customWidth="1"/>
    <col min="4637" max="4640" width="8.90625" style="1"/>
    <col min="4641" max="4641" width="9.08984375" style="1" bestFit="1" customWidth="1"/>
    <col min="4642" max="4645" width="8.90625" style="1"/>
    <col min="4646" max="4646" width="11.6328125" style="1" bestFit="1" customWidth="1"/>
    <col min="4647" max="4868" width="8.90625" style="1"/>
    <col min="4869" max="4873" width="9.08984375" style="1" bestFit="1" customWidth="1"/>
    <col min="4874" max="4882" width="8.90625" style="1"/>
    <col min="4883" max="4887" width="9.08984375" style="1" bestFit="1" customWidth="1"/>
    <col min="4888" max="4889" width="8.90625" style="1"/>
    <col min="4890" max="4891" width="9.08984375" style="1" bestFit="1" customWidth="1"/>
    <col min="4892" max="4892" width="15.54296875" style="1" bestFit="1" customWidth="1"/>
    <col min="4893" max="4896" width="8.90625" style="1"/>
    <col min="4897" max="4897" width="9.08984375" style="1" bestFit="1" customWidth="1"/>
    <col min="4898" max="4901" width="8.90625" style="1"/>
    <col min="4902" max="4902" width="11.6328125" style="1" bestFit="1" customWidth="1"/>
    <col min="4903" max="5124" width="8.90625" style="1"/>
    <col min="5125" max="5129" width="9.08984375" style="1" bestFit="1" customWidth="1"/>
    <col min="5130" max="5138" width="8.90625" style="1"/>
    <col min="5139" max="5143" width="9.08984375" style="1" bestFit="1" customWidth="1"/>
    <col min="5144" max="5145" width="8.90625" style="1"/>
    <col min="5146" max="5147" width="9.08984375" style="1" bestFit="1" customWidth="1"/>
    <col min="5148" max="5148" width="15.54296875" style="1" bestFit="1" customWidth="1"/>
    <col min="5149" max="5152" width="8.90625" style="1"/>
    <col min="5153" max="5153" width="9.08984375" style="1" bestFit="1" customWidth="1"/>
    <col min="5154" max="5157" width="8.90625" style="1"/>
    <col min="5158" max="5158" width="11.6328125" style="1" bestFit="1" customWidth="1"/>
    <col min="5159" max="5380" width="8.90625" style="1"/>
    <col min="5381" max="5385" width="9.08984375" style="1" bestFit="1" customWidth="1"/>
    <col min="5386" max="5394" width="8.90625" style="1"/>
    <col min="5395" max="5399" width="9.08984375" style="1" bestFit="1" customWidth="1"/>
    <col min="5400" max="5401" width="8.90625" style="1"/>
    <col min="5402" max="5403" width="9.08984375" style="1" bestFit="1" customWidth="1"/>
    <col min="5404" max="5404" width="15.54296875" style="1" bestFit="1" customWidth="1"/>
    <col min="5405" max="5408" width="8.90625" style="1"/>
    <col min="5409" max="5409" width="9.08984375" style="1" bestFit="1" customWidth="1"/>
    <col min="5410" max="5413" width="8.90625" style="1"/>
    <col min="5414" max="5414" width="11.6328125" style="1" bestFit="1" customWidth="1"/>
    <col min="5415" max="5636" width="8.90625" style="1"/>
    <col min="5637" max="5641" width="9.08984375" style="1" bestFit="1" customWidth="1"/>
    <col min="5642" max="5650" width="8.90625" style="1"/>
    <col min="5651" max="5655" width="9.08984375" style="1" bestFit="1" customWidth="1"/>
    <col min="5656" max="5657" width="8.90625" style="1"/>
    <col min="5658" max="5659" width="9.08984375" style="1" bestFit="1" customWidth="1"/>
    <col min="5660" max="5660" width="15.54296875" style="1" bestFit="1" customWidth="1"/>
    <col min="5661" max="5664" width="8.90625" style="1"/>
    <col min="5665" max="5665" width="9.08984375" style="1" bestFit="1" customWidth="1"/>
    <col min="5666" max="5669" width="8.90625" style="1"/>
    <col min="5670" max="5670" width="11.6328125" style="1" bestFit="1" customWidth="1"/>
    <col min="5671" max="5892" width="8.90625" style="1"/>
    <col min="5893" max="5897" width="9.08984375" style="1" bestFit="1" customWidth="1"/>
    <col min="5898" max="5906" width="8.90625" style="1"/>
    <col min="5907" max="5911" width="9.08984375" style="1" bestFit="1" customWidth="1"/>
    <col min="5912" max="5913" width="8.90625" style="1"/>
    <col min="5914" max="5915" width="9.08984375" style="1" bestFit="1" customWidth="1"/>
    <col min="5916" max="5916" width="15.54296875" style="1" bestFit="1" customWidth="1"/>
    <col min="5917" max="5920" width="8.90625" style="1"/>
    <col min="5921" max="5921" width="9.08984375" style="1" bestFit="1" customWidth="1"/>
    <col min="5922" max="5925" width="8.90625" style="1"/>
    <col min="5926" max="5926" width="11.6328125" style="1" bestFit="1" customWidth="1"/>
    <col min="5927" max="6148" width="8.90625" style="1"/>
    <col min="6149" max="6153" width="9.08984375" style="1" bestFit="1" customWidth="1"/>
    <col min="6154" max="6162" width="8.90625" style="1"/>
    <col min="6163" max="6167" width="9.08984375" style="1" bestFit="1" customWidth="1"/>
    <col min="6168" max="6169" width="8.90625" style="1"/>
    <col min="6170" max="6171" width="9.08984375" style="1" bestFit="1" customWidth="1"/>
    <col min="6172" max="6172" width="15.54296875" style="1" bestFit="1" customWidth="1"/>
    <col min="6173" max="6176" width="8.90625" style="1"/>
    <col min="6177" max="6177" width="9.08984375" style="1" bestFit="1" customWidth="1"/>
    <col min="6178" max="6181" width="8.90625" style="1"/>
    <col min="6182" max="6182" width="11.6328125" style="1" bestFit="1" customWidth="1"/>
    <col min="6183" max="6404" width="8.90625" style="1"/>
    <col min="6405" max="6409" width="9.08984375" style="1" bestFit="1" customWidth="1"/>
    <col min="6410" max="6418" width="8.90625" style="1"/>
    <col min="6419" max="6423" width="9.08984375" style="1" bestFit="1" customWidth="1"/>
    <col min="6424" max="6425" width="8.90625" style="1"/>
    <col min="6426" max="6427" width="9.08984375" style="1" bestFit="1" customWidth="1"/>
    <col min="6428" max="6428" width="15.54296875" style="1" bestFit="1" customWidth="1"/>
    <col min="6429" max="6432" width="8.90625" style="1"/>
    <col min="6433" max="6433" width="9.08984375" style="1" bestFit="1" customWidth="1"/>
    <col min="6434" max="6437" width="8.90625" style="1"/>
    <col min="6438" max="6438" width="11.6328125" style="1" bestFit="1" customWidth="1"/>
    <col min="6439" max="6660" width="8.90625" style="1"/>
    <col min="6661" max="6665" width="9.08984375" style="1" bestFit="1" customWidth="1"/>
    <col min="6666" max="6674" width="8.90625" style="1"/>
    <col min="6675" max="6679" width="9.08984375" style="1" bestFit="1" customWidth="1"/>
    <col min="6680" max="6681" width="8.90625" style="1"/>
    <col min="6682" max="6683" width="9.08984375" style="1" bestFit="1" customWidth="1"/>
    <col min="6684" max="6684" width="15.54296875" style="1" bestFit="1" customWidth="1"/>
    <col min="6685" max="6688" width="8.90625" style="1"/>
    <col min="6689" max="6689" width="9.08984375" style="1" bestFit="1" customWidth="1"/>
    <col min="6690" max="6693" width="8.90625" style="1"/>
    <col min="6694" max="6694" width="11.6328125" style="1" bestFit="1" customWidth="1"/>
    <col min="6695" max="6916" width="8.90625" style="1"/>
    <col min="6917" max="6921" width="9.08984375" style="1" bestFit="1" customWidth="1"/>
    <col min="6922" max="6930" width="8.90625" style="1"/>
    <col min="6931" max="6935" width="9.08984375" style="1" bestFit="1" customWidth="1"/>
    <col min="6936" max="6937" width="8.90625" style="1"/>
    <col min="6938" max="6939" width="9.08984375" style="1" bestFit="1" customWidth="1"/>
    <col min="6940" max="6940" width="15.54296875" style="1" bestFit="1" customWidth="1"/>
    <col min="6941" max="6944" width="8.90625" style="1"/>
    <col min="6945" max="6945" width="9.08984375" style="1" bestFit="1" customWidth="1"/>
    <col min="6946" max="6949" width="8.90625" style="1"/>
    <col min="6950" max="6950" width="11.6328125" style="1" bestFit="1" customWidth="1"/>
    <col min="6951" max="7172" width="8.90625" style="1"/>
    <col min="7173" max="7177" width="9.08984375" style="1" bestFit="1" customWidth="1"/>
    <col min="7178" max="7186" width="8.90625" style="1"/>
    <col min="7187" max="7191" width="9.08984375" style="1" bestFit="1" customWidth="1"/>
    <col min="7192" max="7193" width="8.90625" style="1"/>
    <col min="7194" max="7195" width="9.08984375" style="1" bestFit="1" customWidth="1"/>
    <col min="7196" max="7196" width="15.54296875" style="1" bestFit="1" customWidth="1"/>
    <col min="7197" max="7200" width="8.90625" style="1"/>
    <col min="7201" max="7201" width="9.08984375" style="1" bestFit="1" customWidth="1"/>
    <col min="7202" max="7205" width="8.90625" style="1"/>
    <col min="7206" max="7206" width="11.6328125" style="1" bestFit="1" customWidth="1"/>
    <col min="7207" max="7428" width="8.90625" style="1"/>
    <col min="7429" max="7433" width="9.08984375" style="1" bestFit="1" customWidth="1"/>
    <col min="7434" max="7442" width="8.90625" style="1"/>
    <col min="7443" max="7447" width="9.08984375" style="1" bestFit="1" customWidth="1"/>
    <col min="7448" max="7449" width="8.90625" style="1"/>
    <col min="7450" max="7451" width="9.08984375" style="1" bestFit="1" customWidth="1"/>
    <col min="7452" max="7452" width="15.54296875" style="1" bestFit="1" customWidth="1"/>
    <col min="7453" max="7456" width="8.90625" style="1"/>
    <col min="7457" max="7457" width="9.08984375" style="1" bestFit="1" customWidth="1"/>
    <col min="7458" max="7461" width="8.90625" style="1"/>
    <col min="7462" max="7462" width="11.6328125" style="1" bestFit="1" customWidth="1"/>
    <col min="7463" max="7684" width="8.90625" style="1"/>
    <col min="7685" max="7689" width="9.08984375" style="1" bestFit="1" customWidth="1"/>
    <col min="7690" max="7698" width="8.90625" style="1"/>
    <col min="7699" max="7703" width="9.08984375" style="1" bestFit="1" customWidth="1"/>
    <col min="7704" max="7705" width="8.90625" style="1"/>
    <col min="7706" max="7707" width="9.08984375" style="1" bestFit="1" customWidth="1"/>
    <col min="7708" max="7708" width="15.54296875" style="1" bestFit="1" customWidth="1"/>
    <col min="7709" max="7712" width="8.90625" style="1"/>
    <col min="7713" max="7713" width="9.08984375" style="1" bestFit="1" customWidth="1"/>
    <col min="7714" max="7717" width="8.90625" style="1"/>
    <col min="7718" max="7718" width="11.6328125" style="1" bestFit="1" customWidth="1"/>
    <col min="7719" max="7940" width="8.90625" style="1"/>
    <col min="7941" max="7945" width="9.08984375" style="1" bestFit="1" customWidth="1"/>
    <col min="7946" max="7954" width="8.90625" style="1"/>
    <col min="7955" max="7959" width="9.08984375" style="1" bestFit="1" customWidth="1"/>
    <col min="7960" max="7961" width="8.90625" style="1"/>
    <col min="7962" max="7963" width="9.08984375" style="1" bestFit="1" customWidth="1"/>
    <col min="7964" max="7964" width="15.54296875" style="1" bestFit="1" customWidth="1"/>
    <col min="7965" max="7968" width="8.90625" style="1"/>
    <col min="7969" max="7969" width="9.08984375" style="1" bestFit="1" customWidth="1"/>
    <col min="7970" max="7973" width="8.90625" style="1"/>
    <col min="7974" max="7974" width="11.6328125" style="1" bestFit="1" customWidth="1"/>
    <col min="7975" max="8196" width="8.90625" style="1"/>
    <col min="8197" max="8201" width="9.08984375" style="1" bestFit="1" customWidth="1"/>
    <col min="8202" max="8210" width="8.90625" style="1"/>
    <col min="8211" max="8215" width="9.08984375" style="1" bestFit="1" customWidth="1"/>
    <col min="8216" max="8217" width="8.90625" style="1"/>
    <col min="8218" max="8219" width="9.08984375" style="1" bestFit="1" customWidth="1"/>
    <col min="8220" max="8220" width="15.54296875" style="1" bestFit="1" customWidth="1"/>
    <col min="8221" max="8224" width="8.90625" style="1"/>
    <col min="8225" max="8225" width="9.08984375" style="1" bestFit="1" customWidth="1"/>
    <col min="8226" max="8229" width="8.90625" style="1"/>
    <col min="8230" max="8230" width="11.6328125" style="1" bestFit="1" customWidth="1"/>
    <col min="8231" max="8452" width="8.90625" style="1"/>
    <col min="8453" max="8457" width="9.08984375" style="1" bestFit="1" customWidth="1"/>
    <col min="8458" max="8466" width="8.90625" style="1"/>
    <col min="8467" max="8471" width="9.08984375" style="1" bestFit="1" customWidth="1"/>
    <col min="8472" max="8473" width="8.90625" style="1"/>
    <col min="8474" max="8475" width="9.08984375" style="1" bestFit="1" customWidth="1"/>
    <col min="8476" max="8476" width="15.54296875" style="1" bestFit="1" customWidth="1"/>
    <col min="8477" max="8480" width="8.90625" style="1"/>
    <col min="8481" max="8481" width="9.08984375" style="1" bestFit="1" customWidth="1"/>
    <col min="8482" max="8485" width="8.90625" style="1"/>
    <col min="8486" max="8486" width="11.6328125" style="1" bestFit="1" customWidth="1"/>
    <col min="8487" max="8708" width="8.90625" style="1"/>
    <col min="8709" max="8713" width="9.08984375" style="1" bestFit="1" customWidth="1"/>
    <col min="8714" max="8722" width="8.90625" style="1"/>
    <col min="8723" max="8727" width="9.08984375" style="1" bestFit="1" customWidth="1"/>
    <col min="8728" max="8729" width="8.90625" style="1"/>
    <col min="8730" max="8731" width="9.08984375" style="1" bestFit="1" customWidth="1"/>
    <col min="8732" max="8732" width="15.54296875" style="1" bestFit="1" customWidth="1"/>
    <col min="8733" max="8736" width="8.90625" style="1"/>
    <col min="8737" max="8737" width="9.08984375" style="1" bestFit="1" customWidth="1"/>
    <col min="8738" max="8741" width="8.90625" style="1"/>
    <col min="8742" max="8742" width="11.6328125" style="1" bestFit="1" customWidth="1"/>
    <col min="8743" max="8964" width="8.90625" style="1"/>
    <col min="8965" max="8969" width="9.08984375" style="1" bestFit="1" customWidth="1"/>
    <col min="8970" max="8978" width="8.90625" style="1"/>
    <col min="8979" max="8983" width="9.08984375" style="1" bestFit="1" customWidth="1"/>
    <col min="8984" max="8985" width="8.90625" style="1"/>
    <col min="8986" max="8987" width="9.08984375" style="1" bestFit="1" customWidth="1"/>
    <col min="8988" max="8988" width="15.54296875" style="1" bestFit="1" customWidth="1"/>
    <col min="8989" max="8992" width="8.90625" style="1"/>
    <col min="8993" max="8993" width="9.08984375" style="1" bestFit="1" customWidth="1"/>
    <col min="8994" max="8997" width="8.90625" style="1"/>
    <col min="8998" max="8998" width="11.6328125" style="1" bestFit="1" customWidth="1"/>
    <col min="8999" max="9220" width="8.90625" style="1"/>
    <col min="9221" max="9225" width="9.08984375" style="1" bestFit="1" customWidth="1"/>
    <col min="9226" max="9234" width="8.90625" style="1"/>
    <col min="9235" max="9239" width="9.08984375" style="1" bestFit="1" customWidth="1"/>
    <col min="9240" max="9241" width="8.90625" style="1"/>
    <col min="9242" max="9243" width="9.08984375" style="1" bestFit="1" customWidth="1"/>
    <col min="9244" max="9244" width="15.54296875" style="1" bestFit="1" customWidth="1"/>
    <col min="9245" max="9248" width="8.90625" style="1"/>
    <col min="9249" max="9249" width="9.08984375" style="1" bestFit="1" customWidth="1"/>
    <col min="9250" max="9253" width="8.90625" style="1"/>
    <col min="9254" max="9254" width="11.6328125" style="1" bestFit="1" customWidth="1"/>
    <col min="9255" max="9476" width="8.90625" style="1"/>
    <col min="9477" max="9481" width="9.08984375" style="1" bestFit="1" customWidth="1"/>
    <col min="9482" max="9490" width="8.90625" style="1"/>
    <col min="9491" max="9495" width="9.08984375" style="1" bestFit="1" customWidth="1"/>
    <col min="9496" max="9497" width="8.90625" style="1"/>
    <col min="9498" max="9499" width="9.08984375" style="1" bestFit="1" customWidth="1"/>
    <col min="9500" max="9500" width="15.54296875" style="1" bestFit="1" customWidth="1"/>
    <col min="9501" max="9504" width="8.90625" style="1"/>
    <col min="9505" max="9505" width="9.08984375" style="1" bestFit="1" customWidth="1"/>
    <col min="9506" max="9509" width="8.90625" style="1"/>
    <col min="9510" max="9510" width="11.6328125" style="1" bestFit="1" customWidth="1"/>
    <col min="9511" max="9732" width="8.90625" style="1"/>
    <col min="9733" max="9737" width="9.08984375" style="1" bestFit="1" customWidth="1"/>
    <col min="9738" max="9746" width="8.90625" style="1"/>
    <col min="9747" max="9751" width="9.08984375" style="1" bestFit="1" customWidth="1"/>
    <col min="9752" max="9753" width="8.90625" style="1"/>
    <col min="9754" max="9755" width="9.08984375" style="1" bestFit="1" customWidth="1"/>
    <col min="9756" max="9756" width="15.54296875" style="1" bestFit="1" customWidth="1"/>
    <col min="9757" max="9760" width="8.90625" style="1"/>
    <col min="9761" max="9761" width="9.08984375" style="1" bestFit="1" customWidth="1"/>
    <col min="9762" max="9765" width="8.90625" style="1"/>
    <col min="9766" max="9766" width="11.6328125" style="1" bestFit="1" customWidth="1"/>
    <col min="9767" max="9988" width="8.90625" style="1"/>
    <col min="9989" max="9993" width="9.08984375" style="1" bestFit="1" customWidth="1"/>
    <col min="9994" max="10002" width="8.90625" style="1"/>
    <col min="10003" max="10007" width="9.08984375" style="1" bestFit="1" customWidth="1"/>
    <col min="10008" max="10009" width="8.90625" style="1"/>
    <col min="10010" max="10011" width="9.08984375" style="1" bestFit="1" customWidth="1"/>
    <col min="10012" max="10012" width="15.54296875" style="1" bestFit="1" customWidth="1"/>
    <col min="10013" max="10016" width="8.90625" style="1"/>
    <col min="10017" max="10017" width="9.08984375" style="1" bestFit="1" customWidth="1"/>
    <col min="10018" max="10021" width="8.90625" style="1"/>
    <col min="10022" max="10022" width="11.6328125" style="1" bestFit="1" customWidth="1"/>
    <col min="10023" max="10244" width="8.90625" style="1"/>
    <col min="10245" max="10249" width="9.08984375" style="1" bestFit="1" customWidth="1"/>
    <col min="10250" max="10258" width="8.90625" style="1"/>
    <col min="10259" max="10263" width="9.08984375" style="1" bestFit="1" customWidth="1"/>
    <col min="10264" max="10265" width="8.90625" style="1"/>
    <col min="10266" max="10267" width="9.08984375" style="1" bestFit="1" customWidth="1"/>
    <col min="10268" max="10268" width="15.54296875" style="1" bestFit="1" customWidth="1"/>
    <col min="10269" max="10272" width="8.90625" style="1"/>
    <col min="10273" max="10273" width="9.08984375" style="1" bestFit="1" customWidth="1"/>
    <col min="10274" max="10277" width="8.90625" style="1"/>
    <col min="10278" max="10278" width="11.6328125" style="1" bestFit="1" customWidth="1"/>
    <col min="10279" max="10500" width="8.90625" style="1"/>
    <col min="10501" max="10505" width="9.08984375" style="1" bestFit="1" customWidth="1"/>
    <col min="10506" max="10514" width="8.90625" style="1"/>
    <col min="10515" max="10519" width="9.08984375" style="1" bestFit="1" customWidth="1"/>
    <col min="10520" max="10521" width="8.90625" style="1"/>
    <col min="10522" max="10523" width="9.08984375" style="1" bestFit="1" customWidth="1"/>
    <col min="10524" max="10524" width="15.54296875" style="1" bestFit="1" customWidth="1"/>
    <col min="10525" max="10528" width="8.90625" style="1"/>
    <col min="10529" max="10529" width="9.08984375" style="1" bestFit="1" customWidth="1"/>
    <col min="10530" max="10533" width="8.90625" style="1"/>
    <col min="10534" max="10534" width="11.6328125" style="1" bestFit="1" customWidth="1"/>
    <col min="10535" max="10756" width="8.90625" style="1"/>
    <col min="10757" max="10761" width="9.08984375" style="1" bestFit="1" customWidth="1"/>
    <col min="10762" max="10770" width="8.90625" style="1"/>
    <col min="10771" max="10775" width="9.08984375" style="1" bestFit="1" customWidth="1"/>
    <col min="10776" max="10777" width="8.90625" style="1"/>
    <col min="10778" max="10779" width="9.08984375" style="1" bestFit="1" customWidth="1"/>
    <col min="10780" max="10780" width="15.54296875" style="1" bestFit="1" customWidth="1"/>
    <col min="10781" max="10784" width="8.90625" style="1"/>
    <col min="10785" max="10785" width="9.08984375" style="1" bestFit="1" customWidth="1"/>
    <col min="10786" max="10789" width="8.90625" style="1"/>
    <col min="10790" max="10790" width="11.6328125" style="1" bestFit="1" customWidth="1"/>
    <col min="10791" max="11012" width="8.90625" style="1"/>
    <col min="11013" max="11017" width="9.08984375" style="1" bestFit="1" customWidth="1"/>
    <col min="11018" max="11026" width="8.90625" style="1"/>
    <col min="11027" max="11031" width="9.08984375" style="1" bestFit="1" customWidth="1"/>
    <col min="11032" max="11033" width="8.90625" style="1"/>
    <col min="11034" max="11035" width="9.08984375" style="1" bestFit="1" customWidth="1"/>
    <col min="11036" max="11036" width="15.54296875" style="1" bestFit="1" customWidth="1"/>
    <col min="11037" max="11040" width="8.90625" style="1"/>
    <col min="11041" max="11041" width="9.08984375" style="1" bestFit="1" customWidth="1"/>
    <col min="11042" max="11045" width="8.90625" style="1"/>
    <col min="11046" max="11046" width="11.6328125" style="1" bestFit="1" customWidth="1"/>
    <col min="11047" max="11268" width="8.90625" style="1"/>
    <col min="11269" max="11273" width="9.08984375" style="1" bestFit="1" customWidth="1"/>
    <col min="11274" max="11282" width="8.90625" style="1"/>
    <col min="11283" max="11287" width="9.08984375" style="1" bestFit="1" customWidth="1"/>
    <col min="11288" max="11289" width="8.90625" style="1"/>
    <col min="11290" max="11291" width="9.08984375" style="1" bestFit="1" customWidth="1"/>
    <col min="11292" max="11292" width="15.54296875" style="1" bestFit="1" customWidth="1"/>
    <col min="11293" max="11296" width="8.90625" style="1"/>
    <col min="11297" max="11297" width="9.08984375" style="1" bestFit="1" customWidth="1"/>
    <col min="11298" max="11301" width="8.90625" style="1"/>
    <col min="11302" max="11302" width="11.6328125" style="1" bestFit="1" customWidth="1"/>
    <col min="11303" max="11524" width="8.90625" style="1"/>
    <col min="11525" max="11529" width="9.08984375" style="1" bestFit="1" customWidth="1"/>
    <col min="11530" max="11538" width="8.90625" style="1"/>
    <col min="11539" max="11543" width="9.08984375" style="1" bestFit="1" customWidth="1"/>
    <col min="11544" max="11545" width="8.90625" style="1"/>
    <col min="11546" max="11547" width="9.08984375" style="1" bestFit="1" customWidth="1"/>
    <col min="11548" max="11548" width="15.54296875" style="1" bestFit="1" customWidth="1"/>
    <col min="11549" max="11552" width="8.90625" style="1"/>
    <col min="11553" max="11553" width="9.08984375" style="1" bestFit="1" customWidth="1"/>
    <col min="11554" max="11557" width="8.90625" style="1"/>
    <col min="11558" max="11558" width="11.6328125" style="1" bestFit="1" customWidth="1"/>
    <col min="11559" max="11780" width="8.90625" style="1"/>
    <col min="11781" max="11785" width="9.08984375" style="1" bestFit="1" customWidth="1"/>
    <col min="11786" max="11794" width="8.90625" style="1"/>
    <col min="11795" max="11799" width="9.08984375" style="1" bestFit="1" customWidth="1"/>
    <col min="11800" max="11801" width="8.90625" style="1"/>
    <col min="11802" max="11803" width="9.08984375" style="1" bestFit="1" customWidth="1"/>
    <col min="11804" max="11804" width="15.54296875" style="1" bestFit="1" customWidth="1"/>
    <col min="11805" max="11808" width="8.90625" style="1"/>
    <col min="11809" max="11809" width="9.08984375" style="1" bestFit="1" customWidth="1"/>
    <col min="11810" max="11813" width="8.90625" style="1"/>
    <col min="11814" max="11814" width="11.6328125" style="1" bestFit="1" customWidth="1"/>
    <col min="11815" max="12036" width="8.90625" style="1"/>
    <col min="12037" max="12041" width="9.08984375" style="1" bestFit="1" customWidth="1"/>
    <col min="12042" max="12050" width="8.90625" style="1"/>
    <col min="12051" max="12055" width="9.08984375" style="1" bestFit="1" customWidth="1"/>
    <col min="12056" max="12057" width="8.90625" style="1"/>
    <col min="12058" max="12059" width="9.08984375" style="1" bestFit="1" customWidth="1"/>
    <col min="12060" max="12060" width="15.54296875" style="1" bestFit="1" customWidth="1"/>
    <col min="12061" max="12064" width="8.90625" style="1"/>
    <col min="12065" max="12065" width="9.08984375" style="1" bestFit="1" customWidth="1"/>
    <col min="12066" max="12069" width="8.90625" style="1"/>
    <col min="12070" max="12070" width="11.6328125" style="1" bestFit="1" customWidth="1"/>
    <col min="12071" max="12292" width="8.90625" style="1"/>
    <col min="12293" max="12297" width="9.08984375" style="1" bestFit="1" customWidth="1"/>
    <col min="12298" max="12306" width="8.90625" style="1"/>
    <col min="12307" max="12311" width="9.08984375" style="1" bestFit="1" customWidth="1"/>
    <col min="12312" max="12313" width="8.90625" style="1"/>
    <col min="12314" max="12315" width="9.08984375" style="1" bestFit="1" customWidth="1"/>
    <col min="12316" max="12316" width="15.54296875" style="1" bestFit="1" customWidth="1"/>
    <col min="12317" max="12320" width="8.90625" style="1"/>
    <col min="12321" max="12321" width="9.08984375" style="1" bestFit="1" customWidth="1"/>
    <col min="12322" max="12325" width="8.90625" style="1"/>
    <col min="12326" max="12326" width="11.6328125" style="1" bestFit="1" customWidth="1"/>
    <col min="12327" max="12548" width="8.90625" style="1"/>
    <col min="12549" max="12553" width="9.08984375" style="1" bestFit="1" customWidth="1"/>
    <col min="12554" max="12562" width="8.90625" style="1"/>
    <col min="12563" max="12567" width="9.08984375" style="1" bestFit="1" customWidth="1"/>
    <col min="12568" max="12569" width="8.90625" style="1"/>
    <col min="12570" max="12571" width="9.08984375" style="1" bestFit="1" customWidth="1"/>
    <col min="12572" max="12572" width="15.54296875" style="1" bestFit="1" customWidth="1"/>
    <col min="12573" max="12576" width="8.90625" style="1"/>
    <col min="12577" max="12577" width="9.08984375" style="1" bestFit="1" customWidth="1"/>
    <col min="12578" max="12581" width="8.90625" style="1"/>
    <col min="12582" max="12582" width="11.6328125" style="1" bestFit="1" customWidth="1"/>
    <col min="12583" max="12804" width="8.90625" style="1"/>
    <col min="12805" max="12809" width="9.08984375" style="1" bestFit="1" customWidth="1"/>
    <col min="12810" max="12818" width="8.90625" style="1"/>
    <col min="12819" max="12823" width="9.08984375" style="1" bestFit="1" customWidth="1"/>
    <col min="12824" max="12825" width="8.90625" style="1"/>
    <col min="12826" max="12827" width="9.08984375" style="1" bestFit="1" customWidth="1"/>
    <col min="12828" max="12828" width="15.54296875" style="1" bestFit="1" customWidth="1"/>
    <col min="12829" max="12832" width="8.90625" style="1"/>
    <col min="12833" max="12833" width="9.08984375" style="1" bestFit="1" customWidth="1"/>
    <col min="12834" max="12837" width="8.90625" style="1"/>
    <col min="12838" max="12838" width="11.6328125" style="1" bestFit="1" customWidth="1"/>
    <col min="12839" max="13060" width="8.90625" style="1"/>
    <col min="13061" max="13065" width="9.08984375" style="1" bestFit="1" customWidth="1"/>
    <col min="13066" max="13074" width="8.90625" style="1"/>
    <col min="13075" max="13079" width="9.08984375" style="1" bestFit="1" customWidth="1"/>
    <col min="13080" max="13081" width="8.90625" style="1"/>
    <col min="13082" max="13083" width="9.08984375" style="1" bestFit="1" customWidth="1"/>
    <col min="13084" max="13084" width="15.54296875" style="1" bestFit="1" customWidth="1"/>
    <col min="13085" max="13088" width="8.90625" style="1"/>
    <col min="13089" max="13089" width="9.08984375" style="1" bestFit="1" customWidth="1"/>
    <col min="13090" max="13093" width="8.90625" style="1"/>
    <col min="13094" max="13094" width="11.6328125" style="1" bestFit="1" customWidth="1"/>
    <col min="13095" max="13316" width="8.90625" style="1"/>
    <col min="13317" max="13321" width="9.08984375" style="1" bestFit="1" customWidth="1"/>
    <col min="13322" max="13330" width="8.90625" style="1"/>
    <col min="13331" max="13335" width="9.08984375" style="1" bestFit="1" customWidth="1"/>
    <col min="13336" max="13337" width="8.90625" style="1"/>
    <col min="13338" max="13339" width="9.08984375" style="1" bestFit="1" customWidth="1"/>
    <col min="13340" max="13340" width="15.54296875" style="1" bestFit="1" customWidth="1"/>
    <col min="13341" max="13344" width="8.90625" style="1"/>
    <col min="13345" max="13345" width="9.08984375" style="1" bestFit="1" customWidth="1"/>
    <col min="13346" max="13349" width="8.90625" style="1"/>
    <col min="13350" max="13350" width="11.6328125" style="1" bestFit="1" customWidth="1"/>
    <col min="13351" max="13572" width="8.90625" style="1"/>
    <col min="13573" max="13577" width="9.08984375" style="1" bestFit="1" customWidth="1"/>
    <col min="13578" max="13586" width="8.90625" style="1"/>
    <col min="13587" max="13591" width="9.08984375" style="1" bestFit="1" customWidth="1"/>
    <col min="13592" max="13593" width="8.90625" style="1"/>
    <col min="13594" max="13595" width="9.08984375" style="1" bestFit="1" customWidth="1"/>
    <col min="13596" max="13596" width="15.54296875" style="1" bestFit="1" customWidth="1"/>
    <col min="13597" max="13600" width="8.90625" style="1"/>
    <col min="13601" max="13601" width="9.08984375" style="1" bestFit="1" customWidth="1"/>
    <col min="13602" max="13605" width="8.90625" style="1"/>
    <col min="13606" max="13606" width="11.6328125" style="1" bestFit="1" customWidth="1"/>
    <col min="13607" max="13828" width="8.90625" style="1"/>
    <col min="13829" max="13833" width="9.08984375" style="1" bestFit="1" customWidth="1"/>
    <col min="13834" max="13842" width="8.90625" style="1"/>
    <col min="13843" max="13847" width="9.08984375" style="1" bestFit="1" customWidth="1"/>
    <col min="13848" max="13849" width="8.90625" style="1"/>
    <col min="13850" max="13851" width="9.08984375" style="1" bestFit="1" customWidth="1"/>
    <col min="13852" max="13852" width="15.54296875" style="1" bestFit="1" customWidth="1"/>
    <col min="13853" max="13856" width="8.90625" style="1"/>
    <col min="13857" max="13857" width="9.08984375" style="1" bestFit="1" customWidth="1"/>
    <col min="13858" max="13861" width="8.90625" style="1"/>
    <col min="13862" max="13862" width="11.6328125" style="1" bestFit="1" customWidth="1"/>
    <col min="13863" max="14084" width="8.90625" style="1"/>
    <col min="14085" max="14089" width="9.08984375" style="1" bestFit="1" customWidth="1"/>
    <col min="14090" max="14098" width="8.90625" style="1"/>
    <col min="14099" max="14103" width="9.08984375" style="1" bestFit="1" customWidth="1"/>
    <col min="14104" max="14105" width="8.90625" style="1"/>
    <col min="14106" max="14107" width="9.08984375" style="1" bestFit="1" customWidth="1"/>
    <col min="14108" max="14108" width="15.54296875" style="1" bestFit="1" customWidth="1"/>
    <col min="14109" max="14112" width="8.90625" style="1"/>
    <col min="14113" max="14113" width="9.08984375" style="1" bestFit="1" customWidth="1"/>
    <col min="14114" max="14117" width="8.90625" style="1"/>
    <col min="14118" max="14118" width="11.6328125" style="1" bestFit="1" customWidth="1"/>
    <col min="14119" max="14340" width="8.90625" style="1"/>
    <col min="14341" max="14345" width="9.08984375" style="1" bestFit="1" customWidth="1"/>
    <col min="14346" max="14354" width="8.90625" style="1"/>
    <col min="14355" max="14359" width="9.08984375" style="1" bestFit="1" customWidth="1"/>
    <col min="14360" max="14361" width="8.90625" style="1"/>
    <col min="14362" max="14363" width="9.08984375" style="1" bestFit="1" customWidth="1"/>
    <col min="14364" max="14364" width="15.54296875" style="1" bestFit="1" customWidth="1"/>
    <col min="14365" max="14368" width="8.90625" style="1"/>
    <col min="14369" max="14369" width="9.08984375" style="1" bestFit="1" customWidth="1"/>
    <col min="14370" max="14373" width="8.90625" style="1"/>
    <col min="14374" max="14374" width="11.6328125" style="1" bestFit="1" customWidth="1"/>
    <col min="14375" max="14596" width="8.90625" style="1"/>
    <col min="14597" max="14601" width="9.08984375" style="1" bestFit="1" customWidth="1"/>
    <col min="14602" max="14610" width="8.90625" style="1"/>
    <col min="14611" max="14615" width="9.08984375" style="1" bestFit="1" customWidth="1"/>
    <col min="14616" max="14617" width="8.90625" style="1"/>
    <col min="14618" max="14619" width="9.08984375" style="1" bestFit="1" customWidth="1"/>
    <col min="14620" max="14620" width="15.54296875" style="1" bestFit="1" customWidth="1"/>
    <col min="14621" max="14624" width="8.90625" style="1"/>
    <col min="14625" max="14625" width="9.08984375" style="1" bestFit="1" customWidth="1"/>
    <col min="14626" max="14629" width="8.90625" style="1"/>
    <col min="14630" max="14630" width="11.6328125" style="1" bestFit="1" customWidth="1"/>
    <col min="14631" max="14852" width="8.90625" style="1"/>
    <col min="14853" max="14857" width="9.08984375" style="1" bestFit="1" customWidth="1"/>
    <col min="14858" max="14866" width="8.90625" style="1"/>
    <col min="14867" max="14871" width="9.08984375" style="1" bestFit="1" customWidth="1"/>
    <col min="14872" max="14873" width="8.90625" style="1"/>
    <col min="14874" max="14875" width="9.08984375" style="1" bestFit="1" customWidth="1"/>
    <col min="14876" max="14876" width="15.54296875" style="1" bestFit="1" customWidth="1"/>
    <col min="14877" max="14880" width="8.90625" style="1"/>
    <col min="14881" max="14881" width="9.08984375" style="1" bestFit="1" customWidth="1"/>
    <col min="14882" max="14885" width="8.90625" style="1"/>
    <col min="14886" max="14886" width="11.6328125" style="1" bestFit="1" customWidth="1"/>
    <col min="14887" max="15108" width="8.90625" style="1"/>
    <col min="15109" max="15113" width="9.08984375" style="1" bestFit="1" customWidth="1"/>
    <col min="15114" max="15122" width="8.90625" style="1"/>
    <col min="15123" max="15127" width="9.08984375" style="1" bestFit="1" customWidth="1"/>
    <col min="15128" max="15129" width="8.90625" style="1"/>
    <col min="15130" max="15131" width="9.08984375" style="1" bestFit="1" customWidth="1"/>
    <col min="15132" max="15132" width="15.54296875" style="1" bestFit="1" customWidth="1"/>
    <col min="15133" max="15136" width="8.90625" style="1"/>
    <col min="15137" max="15137" width="9.08984375" style="1" bestFit="1" customWidth="1"/>
    <col min="15138" max="15141" width="8.90625" style="1"/>
    <col min="15142" max="15142" width="11.6328125" style="1" bestFit="1" customWidth="1"/>
    <col min="15143" max="15364" width="8.90625" style="1"/>
    <col min="15365" max="15369" width="9.08984375" style="1" bestFit="1" customWidth="1"/>
    <col min="15370" max="15378" width="8.90625" style="1"/>
    <col min="15379" max="15383" width="9.08984375" style="1" bestFit="1" customWidth="1"/>
    <col min="15384" max="15385" width="8.90625" style="1"/>
    <col min="15386" max="15387" width="9.08984375" style="1" bestFit="1" customWidth="1"/>
    <col min="15388" max="15388" width="15.54296875" style="1" bestFit="1" customWidth="1"/>
    <col min="15389" max="15392" width="8.90625" style="1"/>
    <col min="15393" max="15393" width="9.08984375" style="1" bestFit="1" customWidth="1"/>
    <col min="15394" max="15397" width="8.90625" style="1"/>
    <col min="15398" max="15398" width="11.6328125" style="1" bestFit="1" customWidth="1"/>
    <col min="15399" max="15620" width="8.90625" style="1"/>
    <col min="15621" max="15625" width="9.08984375" style="1" bestFit="1" customWidth="1"/>
    <col min="15626" max="15634" width="8.90625" style="1"/>
    <col min="15635" max="15639" width="9.08984375" style="1" bestFit="1" customWidth="1"/>
    <col min="15640" max="15641" width="8.90625" style="1"/>
    <col min="15642" max="15643" width="9.08984375" style="1" bestFit="1" customWidth="1"/>
    <col min="15644" max="15644" width="15.54296875" style="1" bestFit="1" customWidth="1"/>
    <col min="15645" max="15648" width="8.90625" style="1"/>
    <col min="15649" max="15649" width="9.08984375" style="1" bestFit="1" customWidth="1"/>
    <col min="15650" max="15653" width="8.90625" style="1"/>
    <col min="15654" max="15654" width="11.6328125" style="1" bestFit="1" customWidth="1"/>
    <col min="15655" max="15876" width="8.90625" style="1"/>
    <col min="15877" max="15881" width="9.08984375" style="1" bestFit="1" customWidth="1"/>
    <col min="15882" max="15890" width="8.90625" style="1"/>
    <col min="15891" max="15895" width="9.08984375" style="1" bestFit="1" customWidth="1"/>
    <col min="15896" max="15897" width="8.90625" style="1"/>
    <col min="15898" max="15899" width="9.08984375" style="1" bestFit="1" customWidth="1"/>
    <col min="15900" max="15900" width="15.54296875" style="1" bestFit="1" customWidth="1"/>
    <col min="15901" max="15904" width="8.90625" style="1"/>
    <col min="15905" max="15905" width="9.08984375" style="1" bestFit="1" customWidth="1"/>
    <col min="15906" max="15909" width="8.90625" style="1"/>
    <col min="15910" max="15910" width="11.6328125" style="1" bestFit="1" customWidth="1"/>
    <col min="15911" max="16132" width="8.90625" style="1"/>
    <col min="16133" max="16137" width="9.08984375" style="1" bestFit="1" customWidth="1"/>
    <col min="16138" max="16146" width="8.90625" style="1"/>
    <col min="16147" max="16151" width="9.08984375" style="1" bestFit="1" customWidth="1"/>
    <col min="16152" max="16153" width="8.90625" style="1"/>
    <col min="16154" max="16155" width="9.08984375" style="1" bestFit="1" customWidth="1"/>
    <col min="16156" max="16156" width="15.54296875" style="1" bestFit="1" customWidth="1"/>
    <col min="16157" max="16160" width="8.90625" style="1"/>
    <col min="16161" max="16161" width="9.08984375" style="1" bestFit="1" customWidth="1"/>
    <col min="16162" max="16165" width="8.90625" style="1"/>
    <col min="16166" max="16166" width="11.6328125" style="1" bestFit="1" customWidth="1"/>
    <col min="16167" max="16374" width="8.90625" style="1"/>
    <col min="16375" max="16384" width="8.90625" style="1" customWidth="1"/>
  </cols>
  <sheetData>
    <row r="1" spans="1:44" x14ac:dyDescent="0.45">
      <c r="A1" s="1" t="s">
        <v>1</v>
      </c>
      <c r="B1" s="1" t="s">
        <v>2</v>
      </c>
      <c r="C1" s="1" t="s">
        <v>3</v>
      </c>
      <c r="D1" s="1" t="s">
        <v>4</v>
      </c>
      <c r="E1" s="1" t="s">
        <v>5</v>
      </c>
      <c r="F1" s="1" t="s">
        <v>9</v>
      </c>
      <c r="G1" s="1" t="s">
        <v>10</v>
      </c>
      <c r="H1" s="1" t="s">
        <v>11</v>
      </c>
      <c r="I1" s="1" t="s">
        <v>12</v>
      </c>
      <c r="J1" s="1" t="s">
        <v>10609</v>
      </c>
      <c r="K1" s="1" t="s">
        <v>13</v>
      </c>
      <c r="L1" s="1" t="s">
        <v>14</v>
      </c>
      <c r="M1" s="1" t="s">
        <v>15</v>
      </c>
      <c r="N1" s="1" t="s">
        <v>16</v>
      </c>
      <c r="O1" s="1" t="s">
        <v>17</v>
      </c>
      <c r="P1" s="1" t="s">
        <v>18</v>
      </c>
      <c r="Q1" s="1" t="s">
        <v>19</v>
      </c>
      <c r="R1" s="1" t="s">
        <v>20</v>
      </c>
      <c r="S1" s="1" t="s">
        <v>21</v>
      </c>
      <c r="T1" s="1" t="s">
        <v>22</v>
      </c>
      <c r="U1" s="1" t="s">
        <v>23</v>
      </c>
      <c r="V1" s="1" t="s">
        <v>24</v>
      </c>
      <c r="W1" s="1" t="s">
        <v>25</v>
      </c>
      <c r="X1" s="1" t="s">
        <v>26</v>
      </c>
      <c r="Y1" s="1" t="s">
        <v>27</v>
      </c>
      <c r="Z1" s="1" t="s">
        <v>28</v>
      </c>
      <c r="AA1" s="1" t="s">
        <v>29</v>
      </c>
      <c r="AB1" s="1" t="s">
        <v>30</v>
      </c>
      <c r="AC1" s="1" t="s">
        <v>31</v>
      </c>
      <c r="AD1" s="1" t="s">
        <v>32</v>
      </c>
      <c r="AE1" s="1" t="s">
        <v>33</v>
      </c>
      <c r="AF1" s="1" t="s">
        <v>34</v>
      </c>
      <c r="AG1" s="1" t="s">
        <v>35</v>
      </c>
      <c r="AH1" s="1" t="s">
        <v>36</v>
      </c>
      <c r="AI1" s="1" t="s">
        <v>37</v>
      </c>
      <c r="AJ1" s="1" t="s">
        <v>38</v>
      </c>
      <c r="AK1" s="1" t="s">
        <v>39</v>
      </c>
      <c r="AL1" s="1" t="s">
        <v>40</v>
      </c>
      <c r="AM1" s="1" t="s">
        <v>41</v>
      </c>
      <c r="AN1" s="1" t="s">
        <v>42</v>
      </c>
      <c r="AO1" s="1" t="s">
        <v>43</v>
      </c>
      <c r="AP1" s="1" t="s">
        <v>44</v>
      </c>
      <c r="AQ1" s="1" t="s">
        <v>45</v>
      </c>
      <c r="AR1" s="1" t="s">
        <v>46</v>
      </c>
    </row>
    <row r="2" spans="1:44" x14ac:dyDescent="0.45">
      <c r="A2" s="1" t="s">
        <v>8410</v>
      </c>
      <c r="B2" s="1" t="s">
        <v>8411</v>
      </c>
      <c r="C2" s="1" t="s">
        <v>2099</v>
      </c>
      <c r="D2" s="1" t="s">
        <v>52</v>
      </c>
      <c r="E2" s="1" t="s">
        <v>53</v>
      </c>
      <c r="F2" s="1" t="s">
        <v>8412</v>
      </c>
      <c r="G2" s="1" t="s">
        <v>58</v>
      </c>
      <c r="H2" s="1" t="s">
        <v>3564</v>
      </c>
      <c r="I2" s="1">
        <v>34</v>
      </c>
      <c r="J2" s="1">
        <v>1</v>
      </c>
      <c r="K2" s="1">
        <v>0</v>
      </c>
      <c r="L2" s="1">
        <v>0</v>
      </c>
      <c r="M2" s="1" t="s">
        <v>2101</v>
      </c>
      <c r="N2" s="1" t="s">
        <v>2102</v>
      </c>
      <c r="O2" s="1" t="s">
        <v>2103</v>
      </c>
      <c r="P2" s="1" t="s">
        <v>2104</v>
      </c>
      <c r="Q2" s="1" t="s">
        <v>48</v>
      </c>
      <c r="R2" s="1" t="s">
        <v>48</v>
      </c>
      <c r="S2" s="1" t="s">
        <v>2105</v>
      </c>
      <c r="T2" s="1" t="s">
        <v>2106</v>
      </c>
      <c r="U2" s="1" t="s">
        <v>86</v>
      </c>
      <c r="V2" s="1">
        <v>2021</v>
      </c>
      <c r="W2" s="1">
        <v>19</v>
      </c>
      <c r="X2" s="1">
        <v>4</v>
      </c>
      <c r="Y2" s="1" t="s">
        <v>48</v>
      </c>
      <c r="Z2" s="1" t="s">
        <v>48</v>
      </c>
      <c r="AA2" s="1" t="s">
        <v>48</v>
      </c>
      <c r="AB2" s="1" t="s">
        <v>48</v>
      </c>
      <c r="AC2" s="1">
        <v>1341</v>
      </c>
      <c r="AD2" s="1">
        <v>1353</v>
      </c>
      <c r="AE2" s="1" t="s">
        <v>48</v>
      </c>
      <c r="AF2" s="1" t="s">
        <v>48</v>
      </c>
      <c r="AG2" s="1" t="s">
        <v>48</v>
      </c>
      <c r="AH2" s="1" t="s">
        <v>48</v>
      </c>
      <c r="AI2" s="1" t="s">
        <v>48</v>
      </c>
      <c r="AJ2" s="1">
        <v>13</v>
      </c>
      <c r="AK2" s="1" t="s">
        <v>137</v>
      </c>
      <c r="AL2" s="1" t="s">
        <v>124</v>
      </c>
      <c r="AM2" s="1" t="s">
        <v>137</v>
      </c>
      <c r="AN2" s="1" t="s">
        <v>48</v>
      </c>
      <c r="AO2" s="1" t="s">
        <v>48</v>
      </c>
      <c r="AP2" s="1" t="s">
        <v>48</v>
      </c>
      <c r="AQ2" s="1" t="s">
        <v>48</v>
      </c>
      <c r="AR2" s="1" t="s">
        <v>10610</v>
      </c>
    </row>
    <row r="3" spans="1:44" x14ac:dyDescent="0.45">
      <c r="A3" s="1" t="s">
        <v>8413</v>
      </c>
      <c r="B3" s="1" t="s">
        <v>8414</v>
      </c>
      <c r="C3" s="1" t="s">
        <v>357</v>
      </c>
      <c r="D3" s="1" t="s">
        <v>52</v>
      </c>
      <c r="E3" s="1" t="s">
        <v>53</v>
      </c>
      <c r="F3" s="1" t="s">
        <v>8415</v>
      </c>
      <c r="G3" s="1" t="s">
        <v>58</v>
      </c>
      <c r="H3" s="1" t="s">
        <v>3564</v>
      </c>
      <c r="I3" s="1">
        <v>50</v>
      </c>
      <c r="J3" s="1">
        <v>22</v>
      </c>
      <c r="K3" s="1">
        <v>1</v>
      </c>
      <c r="L3" s="1">
        <v>11</v>
      </c>
      <c r="M3" s="1" t="s">
        <v>60</v>
      </c>
      <c r="N3" s="1" t="s">
        <v>158</v>
      </c>
      <c r="O3" s="1" t="s">
        <v>159</v>
      </c>
      <c r="P3" s="1" t="s">
        <v>48</v>
      </c>
      <c r="Q3" s="1" t="s">
        <v>363</v>
      </c>
      <c r="R3" s="1" t="s">
        <v>48</v>
      </c>
      <c r="S3" s="1" t="s">
        <v>357</v>
      </c>
      <c r="T3" s="1" t="s">
        <v>364</v>
      </c>
      <c r="U3" s="1" t="s">
        <v>243</v>
      </c>
      <c r="V3" s="1">
        <v>2021</v>
      </c>
      <c r="W3" s="1">
        <v>7</v>
      </c>
      <c r="X3" s="1">
        <v>6</v>
      </c>
      <c r="Y3" s="1" t="s">
        <v>48</v>
      </c>
      <c r="Z3" s="1" t="s">
        <v>48</v>
      </c>
      <c r="AA3" s="1" t="s">
        <v>48</v>
      </c>
      <c r="AB3" s="1" t="s">
        <v>48</v>
      </c>
      <c r="AC3" s="1" t="s">
        <v>48</v>
      </c>
      <c r="AD3" s="1" t="s">
        <v>48</v>
      </c>
      <c r="AE3" s="1" t="s">
        <v>8416</v>
      </c>
      <c r="AF3" s="1" t="s">
        <v>8417</v>
      </c>
      <c r="AG3" s="1" t="str">
        <f>HYPERLINK("http://dx.doi.org/10.1016/j.heliyon.2021.e07340","http://dx.doi.org/10.1016/j.heliyon.2021.e07340")</f>
        <v>http://dx.doi.org/10.1016/j.heliyon.2021.e07340</v>
      </c>
      <c r="AH3" s="1" t="s">
        <v>48</v>
      </c>
      <c r="AI3" s="1" t="s">
        <v>10611</v>
      </c>
      <c r="AJ3" s="1">
        <v>9</v>
      </c>
      <c r="AK3" s="1" t="s">
        <v>335</v>
      </c>
      <c r="AL3" s="1" t="s">
        <v>67</v>
      </c>
      <c r="AM3" s="1" t="s">
        <v>336</v>
      </c>
      <c r="AN3" s="1">
        <v>34195440</v>
      </c>
      <c r="AO3" s="1" t="s">
        <v>337</v>
      </c>
      <c r="AP3" s="1" t="s">
        <v>48</v>
      </c>
      <c r="AQ3" s="1" t="s">
        <v>48</v>
      </c>
      <c r="AR3" s="1" t="s">
        <v>10610</v>
      </c>
    </row>
    <row r="4" spans="1:44" x14ac:dyDescent="0.45">
      <c r="A4" s="1" t="s">
        <v>8462</v>
      </c>
      <c r="B4" s="1" t="s">
        <v>8463</v>
      </c>
      <c r="C4" s="1" t="s">
        <v>4296</v>
      </c>
      <c r="D4" s="1" t="s">
        <v>52</v>
      </c>
      <c r="E4" s="1" t="s">
        <v>53</v>
      </c>
      <c r="F4" s="1" t="s">
        <v>8464</v>
      </c>
      <c r="G4" s="1" t="s">
        <v>58</v>
      </c>
      <c r="H4" s="1" t="s">
        <v>131</v>
      </c>
      <c r="I4" s="1">
        <v>42</v>
      </c>
      <c r="J4" s="1">
        <v>9</v>
      </c>
      <c r="K4" s="1">
        <v>2</v>
      </c>
      <c r="L4" s="1">
        <v>4</v>
      </c>
      <c r="M4" s="1" t="s">
        <v>4299</v>
      </c>
      <c r="N4" s="1" t="s">
        <v>632</v>
      </c>
      <c r="O4" s="1" t="s">
        <v>4300</v>
      </c>
      <c r="P4" s="1" t="s">
        <v>4301</v>
      </c>
      <c r="Q4" s="1" t="s">
        <v>4302</v>
      </c>
      <c r="R4" s="1" t="s">
        <v>48</v>
      </c>
      <c r="S4" s="1" t="s">
        <v>4303</v>
      </c>
      <c r="T4" s="1" t="s">
        <v>4304</v>
      </c>
      <c r="U4" s="1" t="s">
        <v>386</v>
      </c>
      <c r="V4" s="1">
        <v>2022</v>
      </c>
      <c r="W4" s="1">
        <v>34</v>
      </c>
      <c r="X4" s="1">
        <v>1</v>
      </c>
      <c r="Y4" s="1" t="s">
        <v>48</v>
      </c>
      <c r="Z4" s="1" t="s">
        <v>48</v>
      </c>
      <c r="AA4" s="1" t="s">
        <v>1260</v>
      </c>
      <c r="AB4" s="1" t="s">
        <v>48</v>
      </c>
      <c r="AC4" s="1">
        <v>745</v>
      </c>
      <c r="AD4" s="1">
        <v>756</v>
      </c>
      <c r="AE4" s="1" t="s">
        <v>48</v>
      </c>
      <c r="AF4" s="1" t="s">
        <v>8465</v>
      </c>
      <c r="AG4" s="1" t="str">
        <f>HYPERLINK("http://dx.doi.org/10.1007/s00521-021-06405-9","http://dx.doi.org/10.1007/s00521-021-06405-9")</f>
        <v>http://dx.doi.org/10.1007/s00521-021-06405-9</v>
      </c>
      <c r="AH4" s="1" t="s">
        <v>48</v>
      </c>
      <c r="AI4" s="1" t="s">
        <v>10612</v>
      </c>
      <c r="AJ4" s="1">
        <v>12</v>
      </c>
      <c r="AK4" s="1" t="s">
        <v>549</v>
      </c>
      <c r="AL4" s="1" t="s">
        <v>67</v>
      </c>
      <c r="AM4" s="1" t="s">
        <v>292</v>
      </c>
      <c r="AN4" s="1">
        <v>34483494</v>
      </c>
      <c r="AO4" s="1" t="s">
        <v>1016</v>
      </c>
      <c r="AP4" s="1" t="s">
        <v>48</v>
      </c>
      <c r="AQ4" s="1" t="s">
        <v>48</v>
      </c>
      <c r="AR4" s="1" t="s">
        <v>10610</v>
      </c>
    </row>
    <row r="5" spans="1:44" x14ac:dyDescent="0.45">
      <c r="A5" s="1" t="s">
        <v>8466</v>
      </c>
      <c r="B5" s="1" t="s">
        <v>8467</v>
      </c>
      <c r="C5" s="1" t="s">
        <v>8468</v>
      </c>
      <c r="D5" s="1" t="s">
        <v>52</v>
      </c>
      <c r="E5" s="1" t="s">
        <v>53</v>
      </c>
      <c r="F5" s="1" t="s">
        <v>8469</v>
      </c>
      <c r="G5" s="1" t="s">
        <v>58</v>
      </c>
      <c r="H5" s="1" t="s">
        <v>8470</v>
      </c>
      <c r="I5" s="1">
        <v>9</v>
      </c>
      <c r="J5" s="1">
        <v>0</v>
      </c>
      <c r="K5" s="1">
        <v>0</v>
      </c>
      <c r="L5" s="1">
        <v>0</v>
      </c>
      <c r="M5" s="1" t="s">
        <v>503</v>
      </c>
      <c r="N5" s="1" t="s">
        <v>504</v>
      </c>
      <c r="O5" s="1" t="s">
        <v>505</v>
      </c>
      <c r="P5" s="1" t="s">
        <v>8471</v>
      </c>
      <c r="Q5" s="1" t="s">
        <v>8472</v>
      </c>
      <c r="R5" s="1" t="s">
        <v>48</v>
      </c>
      <c r="S5" s="1" t="s">
        <v>8468</v>
      </c>
      <c r="T5" s="1" t="s">
        <v>8473</v>
      </c>
      <c r="U5" s="1" t="s">
        <v>598</v>
      </c>
      <c r="V5" s="1">
        <v>2021</v>
      </c>
      <c r="W5" s="1">
        <v>103</v>
      </c>
      <c r="X5" s="1">
        <v>1</v>
      </c>
      <c r="Y5" s="1" t="s">
        <v>48</v>
      </c>
      <c r="Z5" s="1" t="s">
        <v>48</v>
      </c>
      <c r="AA5" s="1" t="s">
        <v>48</v>
      </c>
      <c r="AB5" s="1" t="s">
        <v>48</v>
      </c>
      <c r="AC5" s="1">
        <v>209</v>
      </c>
      <c r="AD5" s="1">
        <v>220</v>
      </c>
      <c r="AE5" s="1" t="s">
        <v>48</v>
      </c>
      <c r="AF5" s="1" t="s">
        <v>8474</v>
      </c>
      <c r="AG5" s="1" t="str">
        <f>HYPERLINK("http://dx.doi.org/10.1007/s00233-021-10191-0","http://dx.doi.org/10.1007/s00233-021-10191-0")</f>
        <v>http://dx.doi.org/10.1007/s00233-021-10191-0</v>
      </c>
      <c r="AH5" s="1" t="s">
        <v>48</v>
      </c>
      <c r="AI5" s="1" t="s">
        <v>10613</v>
      </c>
      <c r="AJ5" s="1">
        <v>12</v>
      </c>
      <c r="AK5" s="1" t="s">
        <v>137</v>
      </c>
      <c r="AL5" s="1" t="s">
        <v>67</v>
      </c>
      <c r="AM5" s="1" t="s">
        <v>137</v>
      </c>
      <c r="AN5" s="1" t="s">
        <v>48</v>
      </c>
      <c r="AO5" s="1" t="s">
        <v>48</v>
      </c>
      <c r="AP5" s="1" t="s">
        <v>48</v>
      </c>
      <c r="AQ5" s="1" t="s">
        <v>48</v>
      </c>
      <c r="AR5" s="1" t="s">
        <v>10610</v>
      </c>
    </row>
    <row r="6" spans="1:44" x14ac:dyDescent="0.45">
      <c r="A6" s="1" t="s">
        <v>8475</v>
      </c>
      <c r="B6" s="1" t="s">
        <v>8476</v>
      </c>
      <c r="C6" s="1" t="s">
        <v>2133</v>
      </c>
      <c r="D6" s="1" t="s">
        <v>52</v>
      </c>
      <c r="E6" s="1" t="s">
        <v>53</v>
      </c>
      <c r="F6" s="1" t="s">
        <v>8477</v>
      </c>
      <c r="G6" s="1" t="s">
        <v>58</v>
      </c>
      <c r="H6" s="1" t="s">
        <v>8478</v>
      </c>
      <c r="I6" s="1">
        <v>36</v>
      </c>
      <c r="J6" s="1">
        <v>2</v>
      </c>
      <c r="K6" s="1">
        <v>1</v>
      </c>
      <c r="L6" s="1">
        <v>30</v>
      </c>
      <c r="M6" s="1" t="s">
        <v>252</v>
      </c>
      <c r="N6" s="1" t="s">
        <v>253</v>
      </c>
      <c r="O6" s="1" t="s">
        <v>254</v>
      </c>
      <c r="P6" s="1" t="s">
        <v>2134</v>
      </c>
      <c r="Q6" s="1" t="s">
        <v>2135</v>
      </c>
      <c r="R6" s="1" t="s">
        <v>48</v>
      </c>
      <c r="S6" s="1" t="s">
        <v>2136</v>
      </c>
      <c r="T6" s="1" t="s">
        <v>2137</v>
      </c>
      <c r="U6" s="1" t="s">
        <v>320</v>
      </c>
      <c r="V6" s="1">
        <v>2021</v>
      </c>
      <c r="W6" s="1">
        <v>21</v>
      </c>
      <c r="X6" s="1">
        <v>1</v>
      </c>
      <c r="Y6" s="1" t="s">
        <v>48</v>
      </c>
      <c r="Z6" s="1" t="s">
        <v>48</v>
      </c>
      <c r="AA6" s="1" t="s">
        <v>48</v>
      </c>
      <c r="AB6" s="1" t="s">
        <v>48</v>
      </c>
      <c r="AC6" s="1">
        <v>485</v>
      </c>
      <c r="AD6" s="1">
        <v>524</v>
      </c>
      <c r="AE6" s="1" t="s">
        <v>48</v>
      </c>
      <c r="AF6" s="1" t="s">
        <v>8479</v>
      </c>
      <c r="AG6" s="1" t="str">
        <f>HYPERLINK("http://dx.doi.org/10.1007/s12351-018-0443-9","http://dx.doi.org/10.1007/s12351-018-0443-9")</f>
        <v>http://dx.doi.org/10.1007/s12351-018-0443-9</v>
      </c>
      <c r="AH6" s="1" t="s">
        <v>48</v>
      </c>
      <c r="AI6" s="1" t="s">
        <v>48</v>
      </c>
      <c r="AJ6" s="1">
        <v>40</v>
      </c>
      <c r="AK6" s="1" t="s">
        <v>580</v>
      </c>
      <c r="AL6" s="1" t="s">
        <v>67</v>
      </c>
      <c r="AM6" s="1" t="s">
        <v>580</v>
      </c>
      <c r="AN6" s="1" t="s">
        <v>48</v>
      </c>
      <c r="AO6" s="1" t="s">
        <v>48</v>
      </c>
      <c r="AP6" s="1" t="s">
        <v>48</v>
      </c>
      <c r="AQ6" s="1" t="s">
        <v>48</v>
      </c>
      <c r="AR6" s="1" t="s">
        <v>10610</v>
      </c>
    </row>
    <row r="7" spans="1:44" x14ac:dyDescent="0.45">
      <c r="A7" s="1" t="s">
        <v>8454</v>
      </c>
      <c r="B7" s="1" t="s">
        <v>8455</v>
      </c>
      <c r="C7" s="1" t="s">
        <v>979</v>
      </c>
      <c r="D7" s="1" t="s">
        <v>52</v>
      </c>
      <c r="E7" s="1" t="s">
        <v>53</v>
      </c>
      <c r="F7" s="1" t="s">
        <v>8456</v>
      </c>
      <c r="G7" s="1" t="s">
        <v>58</v>
      </c>
      <c r="H7" s="1" t="s">
        <v>6277</v>
      </c>
      <c r="I7" s="1">
        <v>74</v>
      </c>
      <c r="J7" s="1">
        <v>10</v>
      </c>
      <c r="K7" s="1">
        <v>0</v>
      </c>
      <c r="L7" s="1">
        <v>28</v>
      </c>
      <c r="M7" s="1" t="s">
        <v>198</v>
      </c>
      <c r="N7" s="1" t="s">
        <v>146</v>
      </c>
      <c r="O7" s="1" t="s">
        <v>199</v>
      </c>
      <c r="P7" s="1" t="s">
        <v>982</v>
      </c>
      <c r="Q7" s="1" t="s">
        <v>983</v>
      </c>
      <c r="R7" s="1" t="s">
        <v>48</v>
      </c>
      <c r="S7" s="1" t="s">
        <v>984</v>
      </c>
      <c r="T7" s="1" t="s">
        <v>985</v>
      </c>
      <c r="U7" s="1" t="s">
        <v>986</v>
      </c>
      <c r="V7" s="1">
        <v>2022</v>
      </c>
      <c r="W7" s="1">
        <v>37</v>
      </c>
      <c r="X7" s="1">
        <v>25</v>
      </c>
      <c r="Y7" s="1" t="s">
        <v>48</v>
      </c>
      <c r="Z7" s="1" t="s">
        <v>48</v>
      </c>
      <c r="AA7" s="1" t="s">
        <v>48</v>
      </c>
      <c r="AB7" s="1" t="s">
        <v>48</v>
      </c>
      <c r="AC7" s="1">
        <v>9663</v>
      </c>
      <c r="AD7" s="1">
        <v>9687</v>
      </c>
      <c r="AE7" s="1" t="s">
        <v>48</v>
      </c>
      <c r="AF7" s="1" t="s">
        <v>8457</v>
      </c>
      <c r="AG7" s="1" t="str">
        <f>HYPERLINK("http://dx.doi.org/10.1080/10106049.2021.2022016","http://dx.doi.org/10.1080/10106049.2021.2022016")</f>
        <v>http://dx.doi.org/10.1080/10106049.2021.2022016</v>
      </c>
      <c r="AH7" s="1" t="s">
        <v>48</v>
      </c>
      <c r="AI7" s="1" t="s">
        <v>10614</v>
      </c>
      <c r="AJ7" s="1">
        <v>25</v>
      </c>
      <c r="AK7" s="1" t="s">
        <v>988</v>
      </c>
      <c r="AL7" s="1" t="s">
        <v>67</v>
      </c>
      <c r="AM7" s="1" t="s">
        <v>989</v>
      </c>
      <c r="AN7" s="1" t="s">
        <v>48</v>
      </c>
      <c r="AO7" s="1" t="s">
        <v>48</v>
      </c>
      <c r="AP7" s="1" t="s">
        <v>48</v>
      </c>
      <c r="AQ7" s="1" t="s">
        <v>48</v>
      </c>
      <c r="AR7" s="1" t="s">
        <v>10610</v>
      </c>
    </row>
    <row r="8" spans="1:44" x14ac:dyDescent="0.45">
      <c r="A8" s="1" t="s">
        <v>8458</v>
      </c>
      <c r="B8" s="1" t="s">
        <v>8459</v>
      </c>
      <c r="C8" s="1" t="s">
        <v>4296</v>
      </c>
      <c r="D8" s="1" t="s">
        <v>52</v>
      </c>
      <c r="E8" s="1" t="s">
        <v>53</v>
      </c>
      <c r="F8" s="1" t="s">
        <v>8460</v>
      </c>
      <c r="G8" s="1" t="s">
        <v>58</v>
      </c>
      <c r="H8" s="1" t="s">
        <v>131</v>
      </c>
      <c r="I8" s="1">
        <v>31</v>
      </c>
      <c r="J8" s="1">
        <v>8</v>
      </c>
      <c r="K8" s="1">
        <v>0</v>
      </c>
      <c r="L8" s="1">
        <v>6</v>
      </c>
      <c r="M8" s="1" t="s">
        <v>4299</v>
      </c>
      <c r="N8" s="1" t="s">
        <v>632</v>
      </c>
      <c r="O8" s="1" t="s">
        <v>4300</v>
      </c>
      <c r="P8" s="1" t="s">
        <v>4301</v>
      </c>
      <c r="Q8" s="1" t="s">
        <v>4302</v>
      </c>
      <c r="R8" s="1" t="s">
        <v>48</v>
      </c>
      <c r="S8" s="1" t="s">
        <v>4303</v>
      </c>
      <c r="T8" s="1" t="s">
        <v>4304</v>
      </c>
      <c r="U8" s="1" t="s">
        <v>962</v>
      </c>
      <c r="V8" s="1">
        <v>2022</v>
      </c>
      <c r="W8" s="1">
        <v>34</v>
      </c>
      <c r="X8" s="1">
        <v>4</v>
      </c>
      <c r="Y8" s="1" t="s">
        <v>48</v>
      </c>
      <c r="Z8" s="1" t="s">
        <v>48</v>
      </c>
      <c r="AA8" s="1" t="s">
        <v>1260</v>
      </c>
      <c r="AB8" s="1" t="s">
        <v>48</v>
      </c>
      <c r="AC8" s="1">
        <v>3007</v>
      </c>
      <c r="AD8" s="1">
        <v>3017</v>
      </c>
      <c r="AE8" s="1" t="s">
        <v>48</v>
      </c>
      <c r="AF8" s="1" t="s">
        <v>8461</v>
      </c>
      <c r="AG8" s="1" t="str">
        <f>HYPERLINK("http://dx.doi.org/10.1007/s00521-021-06529-y","http://dx.doi.org/10.1007/s00521-021-06529-y")</f>
        <v>http://dx.doi.org/10.1007/s00521-021-06529-y</v>
      </c>
      <c r="AH8" s="1" t="s">
        <v>48</v>
      </c>
      <c r="AI8" s="1" t="s">
        <v>10615</v>
      </c>
      <c r="AJ8" s="1">
        <v>11</v>
      </c>
      <c r="AK8" s="1" t="s">
        <v>549</v>
      </c>
      <c r="AL8" s="1" t="s">
        <v>67</v>
      </c>
      <c r="AM8" s="1" t="s">
        <v>292</v>
      </c>
      <c r="AN8" s="1" t="s">
        <v>48</v>
      </c>
      <c r="AO8" s="1" t="s">
        <v>48</v>
      </c>
      <c r="AP8" s="1" t="s">
        <v>48</v>
      </c>
      <c r="AQ8" s="1" t="s">
        <v>48</v>
      </c>
      <c r="AR8" s="1" t="s">
        <v>10610</v>
      </c>
    </row>
    <row r="9" spans="1:44" x14ac:dyDescent="0.45">
      <c r="A9" s="1" t="s">
        <v>8418</v>
      </c>
      <c r="B9" s="1" t="s">
        <v>8419</v>
      </c>
      <c r="C9" s="1" t="s">
        <v>8420</v>
      </c>
      <c r="D9" s="1" t="s">
        <v>52</v>
      </c>
      <c r="E9" s="1" t="s">
        <v>53</v>
      </c>
      <c r="F9" s="1" t="s">
        <v>8421</v>
      </c>
      <c r="G9" s="1" t="s">
        <v>58</v>
      </c>
      <c r="H9" s="1" t="s">
        <v>8422</v>
      </c>
      <c r="I9" s="1">
        <v>29</v>
      </c>
      <c r="J9" s="1">
        <v>2</v>
      </c>
      <c r="K9" s="1">
        <v>0</v>
      </c>
      <c r="L9" s="1">
        <v>0</v>
      </c>
      <c r="M9" s="1" t="s">
        <v>347</v>
      </c>
      <c r="N9" s="1" t="s">
        <v>348</v>
      </c>
      <c r="O9" s="1" t="s">
        <v>349</v>
      </c>
      <c r="P9" s="1" t="s">
        <v>8423</v>
      </c>
      <c r="Q9" s="1" t="s">
        <v>8424</v>
      </c>
      <c r="R9" s="1" t="s">
        <v>48</v>
      </c>
      <c r="S9" s="1" t="s">
        <v>8420</v>
      </c>
      <c r="T9" s="1" t="s">
        <v>8425</v>
      </c>
      <c r="U9" s="1" t="s">
        <v>320</v>
      </c>
      <c r="V9" s="1">
        <v>2022</v>
      </c>
      <c r="W9" s="1">
        <v>54</v>
      </c>
      <c r="X9" s="1">
        <v>2</v>
      </c>
      <c r="Y9" s="1" t="s">
        <v>48</v>
      </c>
      <c r="Z9" s="1" t="s">
        <v>48</v>
      </c>
      <c r="AA9" s="1" t="s">
        <v>48</v>
      </c>
      <c r="AB9" s="1" t="s">
        <v>48</v>
      </c>
      <c r="AC9" s="1" t="s">
        <v>48</v>
      </c>
      <c r="AD9" s="1" t="s">
        <v>48</v>
      </c>
      <c r="AE9" s="1" t="s">
        <v>8426</v>
      </c>
      <c r="AF9" s="1" t="s">
        <v>8427</v>
      </c>
      <c r="AG9" s="1" t="str">
        <f>HYPERLINK("http://dx.doi.org/10.1111/and.14323","http://dx.doi.org/10.1111/and.14323")</f>
        <v>http://dx.doi.org/10.1111/and.14323</v>
      </c>
      <c r="AH9" s="1" t="s">
        <v>48</v>
      </c>
      <c r="AI9" s="1" t="s">
        <v>10616</v>
      </c>
      <c r="AJ9" s="1">
        <v>6</v>
      </c>
      <c r="AK9" s="1" t="s">
        <v>8428</v>
      </c>
      <c r="AL9" s="1" t="s">
        <v>67</v>
      </c>
      <c r="AM9" s="1" t="s">
        <v>8429</v>
      </c>
      <c r="AN9" s="1">
        <v>34845741</v>
      </c>
      <c r="AO9" s="1" t="s">
        <v>125</v>
      </c>
      <c r="AP9" s="1" t="s">
        <v>48</v>
      </c>
      <c r="AQ9" s="1" t="s">
        <v>48</v>
      </c>
      <c r="AR9" s="1" t="s">
        <v>10610</v>
      </c>
    </row>
    <row r="10" spans="1:44" x14ac:dyDescent="0.45">
      <c r="A10" s="1" t="s">
        <v>166</v>
      </c>
      <c r="B10" s="1" t="s">
        <v>8430</v>
      </c>
      <c r="C10" s="1" t="s">
        <v>8431</v>
      </c>
      <c r="D10" s="1" t="s">
        <v>52</v>
      </c>
      <c r="E10" s="1" t="s">
        <v>53</v>
      </c>
      <c r="F10" s="1" t="s">
        <v>8432</v>
      </c>
      <c r="G10" s="1" t="s">
        <v>58</v>
      </c>
      <c r="H10" s="1" t="s">
        <v>8433</v>
      </c>
      <c r="I10" s="1">
        <v>62</v>
      </c>
      <c r="J10" s="1">
        <v>4</v>
      </c>
      <c r="K10" s="1">
        <v>4</v>
      </c>
      <c r="L10" s="1">
        <v>5</v>
      </c>
      <c r="M10" s="1" t="s">
        <v>79</v>
      </c>
      <c r="N10" s="1" t="s">
        <v>80</v>
      </c>
      <c r="O10" s="1" t="s">
        <v>81</v>
      </c>
      <c r="P10" s="1" t="s">
        <v>8434</v>
      </c>
      <c r="Q10" s="1" t="s">
        <v>48</v>
      </c>
      <c r="R10" s="1" t="s">
        <v>48</v>
      </c>
      <c r="S10" s="1" t="s">
        <v>8435</v>
      </c>
      <c r="T10" s="1" t="s">
        <v>8436</v>
      </c>
      <c r="U10" s="1" t="s">
        <v>911</v>
      </c>
      <c r="V10" s="1">
        <v>2021</v>
      </c>
      <c r="W10" s="1">
        <v>41</v>
      </c>
      <c r="X10" s="1">
        <v>2</v>
      </c>
      <c r="Y10" s="1" t="s">
        <v>48</v>
      </c>
      <c r="Z10" s="1" t="s">
        <v>48</v>
      </c>
      <c r="AA10" s="1" t="s">
        <v>48</v>
      </c>
      <c r="AB10" s="1" t="s">
        <v>48</v>
      </c>
      <c r="AC10" s="1">
        <v>106</v>
      </c>
      <c r="AD10" s="1">
        <v>119</v>
      </c>
      <c r="AE10" s="1" t="s">
        <v>48</v>
      </c>
      <c r="AF10" s="1" t="s">
        <v>8437</v>
      </c>
      <c r="AG10" s="1" t="str">
        <f>HYPERLINK("http://dx.doi.org/10.1016/j.chnaes.2020.09.005","http://dx.doi.org/10.1016/j.chnaes.2020.09.005")</f>
        <v>http://dx.doi.org/10.1016/j.chnaes.2020.09.005</v>
      </c>
      <c r="AH10" s="1" t="s">
        <v>48</v>
      </c>
      <c r="AI10" s="1" t="s">
        <v>48</v>
      </c>
      <c r="AJ10" s="1">
        <v>14</v>
      </c>
      <c r="AK10" s="1" t="s">
        <v>5096</v>
      </c>
      <c r="AL10" s="1" t="s">
        <v>124</v>
      </c>
      <c r="AM10" s="1" t="s">
        <v>439</v>
      </c>
      <c r="AN10" s="1" t="s">
        <v>48</v>
      </c>
      <c r="AO10" s="1" t="s">
        <v>48</v>
      </c>
      <c r="AP10" s="1" t="s">
        <v>48</v>
      </c>
      <c r="AQ10" s="1" t="s">
        <v>48</v>
      </c>
      <c r="AR10" s="1" t="s">
        <v>10610</v>
      </c>
    </row>
    <row r="11" spans="1:44" x14ac:dyDescent="0.45">
      <c r="A11" s="1" t="s">
        <v>8438</v>
      </c>
      <c r="B11" s="1" t="s">
        <v>8439</v>
      </c>
      <c r="C11" s="1" t="s">
        <v>4996</v>
      </c>
      <c r="D11" s="1" t="s">
        <v>52</v>
      </c>
      <c r="E11" s="1" t="s">
        <v>53</v>
      </c>
      <c r="F11" s="1" t="s">
        <v>8440</v>
      </c>
      <c r="G11" s="1" t="s">
        <v>58</v>
      </c>
      <c r="H11" s="1" t="s">
        <v>8441</v>
      </c>
      <c r="I11" s="1">
        <v>137</v>
      </c>
      <c r="J11" s="1">
        <v>75</v>
      </c>
      <c r="K11" s="1">
        <v>5</v>
      </c>
      <c r="L11" s="1">
        <v>89</v>
      </c>
      <c r="M11" s="1" t="s">
        <v>79</v>
      </c>
      <c r="N11" s="1" t="s">
        <v>80</v>
      </c>
      <c r="O11" s="1" t="s">
        <v>81</v>
      </c>
      <c r="P11" s="1" t="s">
        <v>5000</v>
      </c>
      <c r="Q11" s="1" t="s">
        <v>5001</v>
      </c>
      <c r="R11" s="1" t="s">
        <v>48</v>
      </c>
      <c r="S11" s="1" t="s">
        <v>5002</v>
      </c>
      <c r="T11" s="1" t="s">
        <v>5003</v>
      </c>
      <c r="U11" s="1" t="s">
        <v>962</v>
      </c>
      <c r="V11" s="1">
        <v>2021</v>
      </c>
      <c r="W11" s="1">
        <v>121</v>
      </c>
      <c r="X11" s="1" t="s">
        <v>48</v>
      </c>
      <c r="Y11" s="1" t="s">
        <v>48</v>
      </c>
      <c r="Z11" s="1" t="s">
        <v>48</v>
      </c>
      <c r="AA11" s="1" t="s">
        <v>48</v>
      </c>
      <c r="AB11" s="1" t="s">
        <v>48</v>
      </c>
      <c r="AC11" s="1" t="s">
        <v>48</v>
      </c>
      <c r="AD11" s="1" t="s">
        <v>48</v>
      </c>
      <c r="AE11" s="1">
        <v>107178</v>
      </c>
      <c r="AF11" s="1" t="s">
        <v>8442</v>
      </c>
      <c r="AG11" s="1" t="str">
        <f>HYPERLINK("http://dx.doi.org/10.1016/j.ecolind.2020.107178","http://dx.doi.org/10.1016/j.ecolind.2020.107178")</f>
        <v>http://dx.doi.org/10.1016/j.ecolind.2020.107178</v>
      </c>
      <c r="AH11" s="1" t="s">
        <v>48</v>
      </c>
      <c r="AI11" s="1" t="s">
        <v>48</v>
      </c>
      <c r="AJ11" s="1">
        <v>21</v>
      </c>
      <c r="AK11" s="1" t="s">
        <v>5005</v>
      </c>
      <c r="AL11" s="1" t="s">
        <v>944</v>
      </c>
      <c r="AM11" s="1" t="s">
        <v>5006</v>
      </c>
      <c r="AN11" s="1" t="s">
        <v>48</v>
      </c>
      <c r="AO11" s="1" t="s">
        <v>125</v>
      </c>
      <c r="AP11" s="1" t="s">
        <v>48</v>
      </c>
      <c r="AQ11" s="1" t="s">
        <v>48</v>
      </c>
      <c r="AR11" s="1" t="s">
        <v>10610</v>
      </c>
    </row>
    <row r="12" spans="1:44" x14ac:dyDescent="0.45">
      <c r="A12" s="1" t="s">
        <v>8443</v>
      </c>
      <c r="B12" s="1" t="s">
        <v>8444</v>
      </c>
      <c r="C12" s="1" t="s">
        <v>8445</v>
      </c>
      <c r="D12" s="1" t="s">
        <v>52</v>
      </c>
      <c r="E12" s="1" t="s">
        <v>53</v>
      </c>
      <c r="F12" s="1" t="s">
        <v>8446</v>
      </c>
      <c r="G12" s="1" t="s">
        <v>58</v>
      </c>
      <c r="H12" s="1" t="s">
        <v>8447</v>
      </c>
      <c r="I12" s="1">
        <v>2</v>
      </c>
      <c r="J12" s="1">
        <v>14</v>
      </c>
      <c r="K12" s="1">
        <v>0</v>
      </c>
      <c r="L12" s="1">
        <v>1</v>
      </c>
      <c r="M12" s="1" t="s">
        <v>79</v>
      </c>
      <c r="N12" s="1" t="s">
        <v>80</v>
      </c>
      <c r="O12" s="1" t="s">
        <v>81</v>
      </c>
      <c r="P12" s="1" t="s">
        <v>8448</v>
      </c>
      <c r="Q12" s="1" t="s">
        <v>8449</v>
      </c>
      <c r="R12" s="1" t="s">
        <v>48</v>
      </c>
      <c r="S12" s="1" t="s">
        <v>8450</v>
      </c>
      <c r="T12" s="1" t="s">
        <v>8451</v>
      </c>
      <c r="U12" s="1" t="s">
        <v>386</v>
      </c>
      <c r="V12" s="1">
        <v>2021</v>
      </c>
      <c r="W12" s="1">
        <v>76</v>
      </c>
      <c r="X12" s="1" t="s">
        <v>48</v>
      </c>
      <c r="Y12" s="1" t="s">
        <v>48</v>
      </c>
      <c r="Z12" s="1" t="s">
        <v>48</v>
      </c>
      <c r="AA12" s="1" t="s">
        <v>48</v>
      </c>
      <c r="AB12" s="1" t="s">
        <v>48</v>
      </c>
      <c r="AC12" s="1">
        <v>99</v>
      </c>
      <c r="AD12" s="1">
        <v>112</v>
      </c>
      <c r="AE12" s="1" t="s">
        <v>48</v>
      </c>
      <c r="AF12" s="1" t="s">
        <v>8452</v>
      </c>
      <c r="AG12" s="1" t="str">
        <f>HYPERLINK("http://dx.doi.org/10.1016/j.vlsi.2020.09.006","http://dx.doi.org/10.1016/j.vlsi.2020.09.006")</f>
        <v>http://dx.doi.org/10.1016/j.vlsi.2020.09.006</v>
      </c>
      <c r="AH12" s="1" t="s">
        <v>48</v>
      </c>
      <c r="AI12" s="1" t="s">
        <v>48</v>
      </c>
      <c r="AJ12" s="1">
        <v>14</v>
      </c>
      <c r="AK12" s="1" t="s">
        <v>8453</v>
      </c>
      <c r="AL12" s="1" t="s">
        <v>67</v>
      </c>
      <c r="AM12" s="1" t="s">
        <v>389</v>
      </c>
      <c r="AN12" s="1" t="s">
        <v>48</v>
      </c>
      <c r="AO12" s="1" t="s">
        <v>48</v>
      </c>
      <c r="AP12" s="1" t="s">
        <v>48</v>
      </c>
      <c r="AQ12" s="1" t="s">
        <v>48</v>
      </c>
      <c r="AR12" s="1" t="s">
        <v>10610</v>
      </c>
    </row>
    <row r="13" spans="1:44" x14ac:dyDescent="0.45">
      <c r="A13" s="1" t="s">
        <v>127</v>
      </c>
      <c r="B13" s="1" t="s">
        <v>8480</v>
      </c>
      <c r="C13" s="1" t="s">
        <v>4296</v>
      </c>
      <c r="D13" s="1" t="s">
        <v>52</v>
      </c>
      <c r="E13" s="1" t="s">
        <v>53</v>
      </c>
      <c r="F13" s="1" t="s">
        <v>130</v>
      </c>
      <c r="G13" s="1" t="s">
        <v>58</v>
      </c>
      <c r="H13" s="1" t="s">
        <v>131</v>
      </c>
      <c r="I13" s="1">
        <v>40</v>
      </c>
      <c r="J13" s="1">
        <v>9</v>
      </c>
      <c r="K13" s="1">
        <v>0</v>
      </c>
      <c r="L13" s="1">
        <v>7</v>
      </c>
      <c r="M13" s="1" t="s">
        <v>4299</v>
      </c>
      <c r="N13" s="1" t="s">
        <v>632</v>
      </c>
      <c r="O13" s="1" t="s">
        <v>4300</v>
      </c>
      <c r="P13" s="1" t="s">
        <v>4301</v>
      </c>
      <c r="Q13" s="1" t="s">
        <v>4302</v>
      </c>
      <c r="R13" s="1" t="s">
        <v>48</v>
      </c>
      <c r="S13" s="1" t="s">
        <v>4303</v>
      </c>
      <c r="T13" s="1" t="s">
        <v>4304</v>
      </c>
      <c r="U13" s="1" t="s">
        <v>352</v>
      </c>
      <c r="V13" s="1">
        <v>2021</v>
      </c>
      <c r="W13" s="1">
        <v>33</v>
      </c>
      <c r="X13" s="1">
        <v>21</v>
      </c>
      <c r="Y13" s="1" t="s">
        <v>48</v>
      </c>
      <c r="Z13" s="1" t="s">
        <v>48</v>
      </c>
      <c r="AA13" s="1" t="s">
        <v>48</v>
      </c>
      <c r="AB13" s="1" t="s">
        <v>48</v>
      </c>
      <c r="AC13" s="1">
        <v>15027</v>
      </c>
      <c r="AD13" s="1">
        <v>15057</v>
      </c>
      <c r="AE13" s="1" t="s">
        <v>48</v>
      </c>
      <c r="AF13" s="1" t="s">
        <v>8481</v>
      </c>
      <c r="AG13" s="1" t="str">
        <f>HYPERLINK("http://dx.doi.org/10.1007/s00521-021-06136-x","http://dx.doi.org/10.1007/s00521-021-06136-x")</f>
        <v>http://dx.doi.org/10.1007/s00521-021-06136-x</v>
      </c>
      <c r="AH13" s="1" t="s">
        <v>48</v>
      </c>
      <c r="AI13" s="1" t="s">
        <v>10613</v>
      </c>
      <c r="AJ13" s="1">
        <v>31</v>
      </c>
      <c r="AK13" s="1" t="s">
        <v>549</v>
      </c>
      <c r="AL13" s="1" t="s">
        <v>67</v>
      </c>
      <c r="AM13" s="1" t="s">
        <v>292</v>
      </c>
      <c r="AN13" s="1" t="s">
        <v>48</v>
      </c>
      <c r="AO13" s="1" t="s">
        <v>48</v>
      </c>
      <c r="AP13" s="1" t="s">
        <v>48</v>
      </c>
      <c r="AQ13" s="1" t="s">
        <v>48</v>
      </c>
      <c r="AR13" s="1" t="s">
        <v>10610</v>
      </c>
    </row>
    <row r="14" spans="1:44" x14ac:dyDescent="0.45">
      <c r="A14" s="1" t="s">
        <v>1382</v>
      </c>
      <c r="B14" s="1" t="s">
        <v>8482</v>
      </c>
      <c r="C14" s="1" t="s">
        <v>1931</v>
      </c>
      <c r="D14" s="1" t="s">
        <v>52</v>
      </c>
      <c r="E14" s="1" t="s">
        <v>53</v>
      </c>
      <c r="F14" s="1" t="s">
        <v>8483</v>
      </c>
      <c r="G14" s="1" t="s">
        <v>58</v>
      </c>
      <c r="H14" s="1" t="s">
        <v>8484</v>
      </c>
      <c r="I14" s="1">
        <v>42</v>
      </c>
      <c r="J14" s="1">
        <v>7</v>
      </c>
      <c r="K14" s="1">
        <v>0</v>
      </c>
      <c r="L14" s="1">
        <v>4</v>
      </c>
      <c r="M14" s="1" t="s">
        <v>252</v>
      </c>
      <c r="N14" s="1" t="s">
        <v>253</v>
      </c>
      <c r="O14" s="1" t="s">
        <v>254</v>
      </c>
      <c r="P14" s="1" t="s">
        <v>1932</v>
      </c>
      <c r="Q14" s="1" t="s">
        <v>1933</v>
      </c>
      <c r="R14" s="1" t="s">
        <v>48</v>
      </c>
      <c r="S14" s="1" t="s">
        <v>1934</v>
      </c>
      <c r="T14" s="1" t="s">
        <v>1935</v>
      </c>
      <c r="U14" s="1" t="s">
        <v>243</v>
      </c>
      <c r="V14" s="1">
        <v>2021</v>
      </c>
      <c r="W14" s="1">
        <v>7</v>
      </c>
      <c r="X14" s="1">
        <v>3</v>
      </c>
      <c r="Y14" s="1" t="s">
        <v>48</v>
      </c>
      <c r="Z14" s="1" t="s">
        <v>48</v>
      </c>
      <c r="AA14" s="1" t="s">
        <v>48</v>
      </c>
      <c r="AB14" s="1" t="s">
        <v>48</v>
      </c>
      <c r="AC14" s="1">
        <v>1597</v>
      </c>
      <c r="AD14" s="1">
        <v>1617</v>
      </c>
      <c r="AE14" s="1" t="s">
        <v>48</v>
      </c>
      <c r="AF14" s="1" t="s">
        <v>8485</v>
      </c>
      <c r="AG14" s="1" t="str">
        <f>HYPERLINK("http://dx.doi.org/10.1007/s40747-021-00286-0","http://dx.doi.org/10.1007/s40747-021-00286-0")</f>
        <v>http://dx.doi.org/10.1007/s40747-021-00286-0</v>
      </c>
      <c r="AH14" s="1" t="s">
        <v>48</v>
      </c>
      <c r="AI14" s="1" t="s">
        <v>10617</v>
      </c>
      <c r="AJ14" s="1">
        <v>21</v>
      </c>
      <c r="AK14" s="1" t="s">
        <v>549</v>
      </c>
      <c r="AL14" s="1" t="s">
        <v>67</v>
      </c>
      <c r="AM14" s="1" t="s">
        <v>292</v>
      </c>
      <c r="AN14" s="1" t="s">
        <v>48</v>
      </c>
      <c r="AO14" s="1" t="s">
        <v>125</v>
      </c>
      <c r="AP14" s="1" t="s">
        <v>48</v>
      </c>
      <c r="AQ14" s="1" t="s">
        <v>48</v>
      </c>
      <c r="AR14" s="1" t="s">
        <v>10610</v>
      </c>
    </row>
    <row r="15" spans="1:44" x14ac:dyDescent="0.45">
      <c r="A15" s="1" t="s">
        <v>127</v>
      </c>
      <c r="B15" s="1" t="s">
        <v>8486</v>
      </c>
      <c r="C15" s="1" t="s">
        <v>1812</v>
      </c>
      <c r="D15" s="1" t="s">
        <v>52</v>
      </c>
      <c r="E15" s="1" t="s">
        <v>53</v>
      </c>
      <c r="F15" s="1" t="s">
        <v>130</v>
      </c>
      <c r="G15" s="1" t="s">
        <v>58</v>
      </c>
      <c r="H15" s="1" t="s">
        <v>131</v>
      </c>
      <c r="I15" s="1">
        <v>52</v>
      </c>
      <c r="J15" s="1">
        <v>12</v>
      </c>
      <c r="K15" s="1">
        <v>0</v>
      </c>
      <c r="L15" s="1">
        <v>6</v>
      </c>
      <c r="M15" s="1" t="s">
        <v>503</v>
      </c>
      <c r="N15" s="1" t="s">
        <v>504</v>
      </c>
      <c r="O15" s="1" t="s">
        <v>505</v>
      </c>
      <c r="P15" s="1" t="s">
        <v>1814</v>
      </c>
      <c r="Q15" s="1" t="s">
        <v>1815</v>
      </c>
      <c r="R15" s="1" t="s">
        <v>48</v>
      </c>
      <c r="S15" s="1" t="s">
        <v>1816</v>
      </c>
      <c r="T15" s="1" t="s">
        <v>1817</v>
      </c>
      <c r="U15" s="1" t="s">
        <v>832</v>
      </c>
      <c r="V15" s="1">
        <v>2021</v>
      </c>
      <c r="W15" s="1">
        <v>25</v>
      </c>
      <c r="X15" s="1">
        <v>10</v>
      </c>
      <c r="Y15" s="1" t="s">
        <v>48</v>
      </c>
      <c r="Z15" s="1" t="s">
        <v>48</v>
      </c>
      <c r="AA15" s="1" t="s">
        <v>48</v>
      </c>
      <c r="AB15" s="1" t="s">
        <v>48</v>
      </c>
      <c r="AC15" s="1">
        <v>7095</v>
      </c>
      <c r="AD15" s="1">
        <v>7118</v>
      </c>
      <c r="AE15" s="1" t="s">
        <v>48</v>
      </c>
      <c r="AF15" s="1" t="s">
        <v>8487</v>
      </c>
      <c r="AG15" s="1" t="str">
        <f>HYPERLINK("http://dx.doi.org/10.1007/s00500-021-05670-z","http://dx.doi.org/10.1007/s00500-021-05670-z")</f>
        <v>http://dx.doi.org/10.1007/s00500-021-05670-z</v>
      </c>
      <c r="AH15" s="1" t="s">
        <v>48</v>
      </c>
      <c r="AI15" s="1" t="s">
        <v>10618</v>
      </c>
      <c r="AJ15" s="1">
        <v>24</v>
      </c>
      <c r="AK15" s="1" t="s">
        <v>1746</v>
      </c>
      <c r="AL15" s="1" t="s">
        <v>67</v>
      </c>
      <c r="AM15" s="1" t="s">
        <v>292</v>
      </c>
      <c r="AN15" s="1" t="s">
        <v>48</v>
      </c>
      <c r="AO15" s="1" t="s">
        <v>48</v>
      </c>
      <c r="AP15" s="1" t="s">
        <v>48</v>
      </c>
      <c r="AQ15" s="1" t="s">
        <v>48</v>
      </c>
      <c r="AR15" s="1" t="s">
        <v>10610</v>
      </c>
    </row>
    <row r="16" spans="1:44" x14ac:dyDescent="0.45">
      <c r="A16" s="1" t="s">
        <v>8410</v>
      </c>
      <c r="B16" s="1" t="s">
        <v>8521</v>
      </c>
      <c r="C16" s="1" t="s">
        <v>2092</v>
      </c>
      <c r="D16" s="1" t="s">
        <v>52</v>
      </c>
      <c r="E16" s="1" t="s">
        <v>53</v>
      </c>
      <c r="F16" s="1" t="s">
        <v>8412</v>
      </c>
      <c r="G16" s="1" t="s">
        <v>58</v>
      </c>
      <c r="H16" s="1" t="s">
        <v>3564</v>
      </c>
      <c r="I16" s="1">
        <v>34</v>
      </c>
      <c r="J16" s="1">
        <v>7</v>
      </c>
      <c r="K16" s="1">
        <v>1</v>
      </c>
      <c r="L16" s="1">
        <v>1</v>
      </c>
      <c r="M16" s="1" t="s">
        <v>803</v>
      </c>
      <c r="N16" s="1" t="s">
        <v>239</v>
      </c>
      <c r="O16" s="1" t="s">
        <v>804</v>
      </c>
      <c r="P16" s="1" t="s">
        <v>2093</v>
      </c>
      <c r="Q16" s="1" t="s">
        <v>2094</v>
      </c>
      <c r="R16" s="1" t="s">
        <v>48</v>
      </c>
      <c r="S16" s="1" t="s">
        <v>2095</v>
      </c>
      <c r="T16" s="1" t="s">
        <v>2096</v>
      </c>
      <c r="U16" s="1" t="s">
        <v>7939</v>
      </c>
      <c r="V16" s="1">
        <v>2021</v>
      </c>
      <c r="W16" s="1">
        <v>46</v>
      </c>
      <c r="X16" s="1">
        <v>2</v>
      </c>
      <c r="Y16" s="1" t="s">
        <v>48</v>
      </c>
      <c r="Z16" s="1" t="s">
        <v>48</v>
      </c>
      <c r="AA16" s="1" t="s">
        <v>48</v>
      </c>
      <c r="AB16" s="1" t="s">
        <v>48</v>
      </c>
      <c r="AC16" s="1" t="s">
        <v>48</v>
      </c>
      <c r="AD16" s="1" t="s">
        <v>48</v>
      </c>
      <c r="AE16" s="1">
        <v>95</v>
      </c>
      <c r="AF16" s="1" t="s">
        <v>8522</v>
      </c>
      <c r="AG16" s="1" t="str">
        <f>HYPERLINK("http://dx.doi.org/10.1007/s12046-021-01599-z","http://dx.doi.org/10.1007/s12046-021-01599-z")</f>
        <v>http://dx.doi.org/10.1007/s12046-021-01599-z</v>
      </c>
      <c r="AH16" s="1" t="s">
        <v>48</v>
      </c>
      <c r="AI16" s="1" t="s">
        <v>48</v>
      </c>
      <c r="AJ16" s="1">
        <v>15</v>
      </c>
      <c r="AK16" s="1" t="s">
        <v>1732</v>
      </c>
      <c r="AL16" s="1" t="s">
        <v>67</v>
      </c>
      <c r="AM16" s="1" t="s">
        <v>1733</v>
      </c>
      <c r="AN16" s="1" t="s">
        <v>48</v>
      </c>
      <c r="AO16" s="1" t="s">
        <v>48</v>
      </c>
      <c r="AP16" s="1" t="s">
        <v>48</v>
      </c>
      <c r="AQ16" s="1" t="s">
        <v>48</v>
      </c>
      <c r="AR16" s="1" t="s">
        <v>10610</v>
      </c>
    </row>
    <row r="17" spans="1:44" x14ac:dyDescent="0.45">
      <c r="A17" s="1" t="s">
        <v>8410</v>
      </c>
      <c r="B17" s="1" t="s">
        <v>8523</v>
      </c>
      <c r="C17" s="1" t="s">
        <v>1812</v>
      </c>
      <c r="D17" s="1" t="s">
        <v>52</v>
      </c>
      <c r="E17" s="1" t="s">
        <v>53</v>
      </c>
      <c r="F17" s="1" t="s">
        <v>8412</v>
      </c>
      <c r="G17" s="1" t="s">
        <v>58</v>
      </c>
      <c r="H17" s="1" t="s">
        <v>3564</v>
      </c>
      <c r="I17" s="1">
        <v>80</v>
      </c>
      <c r="J17" s="1">
        <v>62</v>
      </c>
      <c r="K17" s="1">
        <v>3</v>
      </c>
      <c r="L17" s="1">
        <v>44</v>
      </c>
      <c r="M17" s="1" t="s">
        <v>503</v>
      </c>
      <c r="N17" s="1" t="s">
        <v>504</v>
      </c>
      <c r="O17" s="1" t="s">
        <v>505</v>
      </c>
      <c r="P17" s="1" t="s">
        <v>1814</v>
      </c>
      <c r="Q17" s="1" t="s">
        <v>1815</v>
      </c>
      <c r="R17" s="1" t="s">
        <v>48</v>
      </c>
      <c r="S17" s="1" t="s">
        <v>1816</v>
      </c>
      <c r="T17" s="1" t="s">
        <v>1817</v>
      </c>
      <c r="U17" s="1" t="s">
        <v>911</v>
      </c>
      <c r="V17" s="1">
        <v>2021</v>
      </c>
      <c r="W17" s="1">
        <v>25</v>
      </c>
      <c r="X17" s="1">
        <v>7</v>
      </c>
      <c r="Y17" s="1" t="s">
        <v>48</v>
      </c>
      <c r="Z17" s="1" t="s">
        <v>48</v>
      </c>
      <c r="AA17" s="1" t="s">
        <v>48</v>
      </c>
      <c r="AB17" s="1" t="s">
        <v>48</v>
      </c>
      <c r="AC17" s="1">
        <v>5055</v>
      </c>
      <c r="AD17" s="1">
        <v>5072</v>
      </c>
      <c r="AE17" s="1" t="s">
        <v>48</v>
      </c>
      <c r="AF17" s="1" t="s">
        <v>8524</v>
      </c>
      <c r="AG17" s="1" t="str">
        <f>HYPERLINK("http://dx.doi.org/10.1007/s00500-020-05509-z","http://dx.doi.org/10.1007/s00500-020-05509-z")</f>
        <v>http://dx.doi.org/10.1007/s00500-020-05509-z</v>
      </c>
      <c r="AH17" s="1" t="s">
        <v>48</v>
      </c>
      <c r="AI17" s="1" t="s">
        <v>10619</v>
      </c>
      <c r="AJ17" s="1">
        <v>18</v>
      </c>
      <c r="AK17" s="1" t="s">
        <v>1746</v>
      </c>
      <c r="AL17" s="1" t="s">
        <v>67</v>
      </c>
      <c r="AM17" s="1" t="s">
        <v>292</v>
      </c>
      <c r="AN17" s="1" t="s">
        <v>48</v>
      </c>
      <c r="AO17" s="1" t="s">
        <v>48</v>
      </c>
      <c r="AP17" s="1" t="s">
        <v>48</v>
      </c>
      <c r="AQ17" s="1" t="s">
        <v>48</v>
      </c>
      <c r="AR17" s="1" t="s">
        <v>10610</v>
      </c>
    </row>
    <row r="18" spans="1:44" x14ac:dyDescent="0.45">
      <c r="A18" s="1" t="s">
        <v>1819</v>
      </c>
      <c r="B18" s="1" t="s">
        <v>8525</v>
      </c>
      <c r="C18" s="1" t="s">
        <v>2737</v>
      </c>
      <c r="D18" s="1" t="s">
        <v>52</v>
      </c>
      <c r="E18" s="1" t="s">
        <v>53</v>
      </c>
      <c r="F18" s="1" t="s">
        <v>1821</v>
      </c>
      <c r="G18" s="1" t="s">
        <v>58</v>
      </c>
      <c r="H18" s="1" t="s">
        <v>131</v>
      </c>
      <c r="I18" s="1">
        <v>52</v>
      </c>
      <c r="J18" s="1">
        <v>31</v>
      </c>
      <c r="K18" s="1">
        <v>0</v>
      </c>
      <c r="L18" s="1">
        <v>8</v>
      </c>
      <c r="M18" s="1" t="s">
        <v>2741</v>
      </c>
      <c r="N18" s="1" t="s">
        <v>80</v>
      </c>
      <c r="O18" s="1" t="s">
        <v>2742</v>
      </c>
      <c r="P18" s="1" t="s">
        <v>2743</v>
      </c>
      <c r="Q18" s="1" t="s">
        <v>2744</v>
      </c>
      <c r="R18" s="1" t="s">
        <v>48</v>
      </c>
      <c r="S18" s="1" t="s">
        <v>2745</v>
      </c>
      <c r="T18" s="1" t="s">
        <v>2746</v>
      </c>
      <c r="U18" s="1" t="s">
        <v>48</v>
      </c>
      <c r="V18" s="1">
        <v>2021</v>
      </c>
      <c r="W18" s="1">
        <v>40</v>
      </c>
      <c r="X18" s="1">
        <v>6</v>
      </c>
      <c r="Y18" s="1" t="s">
        <v>48</v>
      </c>
      <c r="Z18" s="1" t="s">
        <v>48</v>
      </c>
      <c r="AA18" s="1" t="s">
        <v>48</v>
      </c>
      <c r="AB18" s="1" t="s">
        <v>48</v>
      </c>
      <c r="AC18" s="1">
        <v>10575</v>
      </c>
      <c r="AD18" s="1">
        <v>10587</v>
      </c>
      <c r="AE18" s="1" t="s">
        <v>48</v>
      </c>
      <c r="AF18" s="1" t="s">
        <v>8526</v>
      </c>
      <c r="AG18" s="1" t="str">
        <f>HYPERLINK("http://dx.doi.org/10.3233/JIFS-201293","http://dx.doi.org/10.3233/JIFS-201293")</f>
        <v>http://dx.doi.org/10.3233/JIFS-201293</v>
      </c>
      <c r="AH18" s="1" t="s">
        <v>48</v>
      </c>
      <c r="AI18" s="1" t="s">
        <v>48</v>
      </c>
      <c r="AJ18" s="1">
        <v>13</v>
      </c>
      <c r="AK18" s="1" t="s">
        <v>549</v>
      </c>
      <c r="AL18" s="1" t="s">
        <v>67</v>
      </c>
      <c r="AM18" s="1" t="s">
        <v>292</v>
      </c>
      <c r="AN18" s="1" t="s">
        <v>48</v>
      </c>
      <c r="AO18" s="1" t="s">
        <v>48</v>
      </c>
      <c r="AP18" s="1" t="s">
        <v>48</v>
      </c>
      <c r="AQ18" s="1" t="s">
        <v>48</v>
      </c>
      <c r="AR18" s="1" t="s">
        <v>10610</v>
      </c>
    </row>
    <row r="19" spans="1:44" x14ac:dyDescent="0.45">
      <c r="A19" s="1" t="s">
        <v>2017</v>
      </c>
      <c r="B19" s="1" t="s">
        <v>8542</v>
      </c>
      <c r="C19" s="1" t="s">
        <v>1307</v>
      </c>
      <c r="D19" s="1" t="s">
        <v>52</v>
      </c>
      <c r="E19" s="1" t="s">
        <v>53</v>
      </c>
      <c r="F19" s="1" t="s">
        <v>2019</v>
      </c>
      <c r="G19" s="1" t="s">
        <v>58</v>
      </c>
      <c r="H19" s="1" t="s">
        <v>2020</v>
      </c>
      <c r="I19" s="1">
        <v>21</v>
      </c>
      <c r="J19" s="1">
        <v>7</v>
      </c>
      <c r="K19" s="1">
        <v>0</v>
      </c>
      <c r="L19" s="1">
        <v>0</v>
      </c>
      <c r="M19" s="1" t="s">
        <v>98</v>
      </c>
      <c r="N19" s="1" t="s">
        <v>99</v>
      </c>
      <c r="O19" s="1" t="s">
        <v>100</v>
      </c>
      <c r="P19" s="1" t="s">
        <v>1311</v>
      </c>
      <c r="Q19" s="1" t="s">
        <v>1312</v>
      </c>
      <c r="R19" s="1" t="s">
        <v>48</v>
      </c>
      <c r="S19" s="1" t="s">
        <v>1313</v>
      </c>
      <c r="T19" s="1" t="s">
        <v>1314</v>
      </c>
      <c r="U19" s="1" t="s">
        <v>832</v>
      </c>
      <c r="V19" s="1">
        <v>2021</v>
      </c>
      <c r="W19" s="1">
        <v>13</v>
      </c>
      <c r="X19" s="1">
        <v>1</v>
      </c>
      <c r="Y19" s="1" t="s">
        <v>48</v>
      </c>
      <c r="Z19" s="1" t="s">
        <v>48</v>
      </c>
      <c r="AA19" s="1" t="s">
        <v>48</v>
      </c>
      <c r="AB19" s="1" t="s">
        <v>48</v>
      </c>
      <c r="AC19" s="1">
        <v>81</v>
      </c>
      <c r="AD19" s="1">
        <v>94</v>
      </c>
      <c r="AE19" s="1" t="s">
        <v>8543</v>
      </c>
      <c r="AF19" s="1" t="s">
        <v>8544</v>
      </c>
      <c r="AG19" s="1" t="str">
        <f>HYPERLINK("http://dx.doi.org/10.1177/2455328X20987370","http://dx.doi.org/10.1177/2455328X20987370")</f>
        <v>http://dx.doi.org/10.1177/2455328X20987370</v>
      </c>
      <c r="AH19" s="1" t="s">
        <v>48</v>
      </c>
      <c r="AI19" s="1" t="s">
        <v>10617</v>
      </c>
      <c r="AJ19" s="1">
        <v>14</v>
      </c>
      <c r="AK19" s="1" t="s">
        <v>460</v>
      </c>
      <c r="AL19" s="1" t="s">
        <v>124</v>
      </c>
      <c r="AM19" s="1" t="s">
        <v>461</v>
      </c>
      <c r="AN19" s="1" t="s">
        <v>48</v>
      </c>
      <c r="AO19" s="1" t="s">
        <v>48</v>
      </c>
      <c r="AP19" s="1" t="s">
        <v>48</v>
      </c>
      <c r="AQ19" s="1" t="s">
        <v>48</v>
      </c>
      <c r="AR19" s="1" t="s">
        <v>10610</v>
      </c>
    </row>
    <row r="20" spans="1:44" x14ac:dyDescent="0.45">
      <c r="A20" s="1" t="s">
        <v>674</v>
      </c>
      <c r="B20" s="1" t="s">
        <v>8619</v>
      </c>
      <c r="C20" s="1" t="s">
        <v>571</v>
      </c>
      <c r="D20" s="1" t="s">
        <v>52</v>
      </c>
      <c r="E20" s="1" t="s">
        <v>53</v>
      </c>
      <c r="F20" s="1" t="s">
        <v>677</v>
      </c>
      <c r="G20" s="1" t="s">
        <v>58</v>
      </c>
      <c r="H20" s="1" t="s">
        <v>227</v>
      </c>
      <c r="I20" s="1">
        <v>55</v>
      </c>
      <c r="J20" s="1">
        <v>9</v>
      </c>
      <c r="K20" s="1">
        <v>2</v>
      </c>
      <c r="L20" s="1">
        <v>9</v>
      </c>
      <c r="M20" s="1" t="s">
        <v>572</v>
      </c>
      <c r="N20" s="1" t="s">
        <v>573</v>
      </c>
      <c r="O20" s="1" t="s">
        <v>574</v>
      </c>
      <c r="P20" s="1" t="s">
        <v>575</v>
      </c>
      <c r="Q20" s="1" t="s">
        <v>8620</v>
      </c>
      <c r="R20" s="1" t="s">
        <v>48</v>
      </c>
      <c r="S20" s="1" t="s">
        <v>577</v>
      </c>
      <c r="T20" s="1" t="s">
        <v>578</v>
      </c>
      <c r="U20" s="1" t="s">
        <v>5182</v>
      </c>
      <c r="V20" s="1">
        <v>2021</v>
      </c>
      <c r="W20" s="1">
        <v>55</v>
      </c>
      <c r="X20" s="1">
        <v>5</v>
      </c>
      <c r="Y20" s="1" t="s">
        <v>48</v>
      </c>
      <c r="Z20" s="1" t="s">
        <v>48</v>
      </c>
      <c r="AA20" s="1" t="s">
        <v>48</v>
      </c>
      <c r="AB20" s="1" t="s">
        <v>48</v>
      </c>
      <c r="AC20" s="1">
        <v>3087</v>
      </c>
      <c r="AD20" s="1">
        <v>3105</v>
      </c>
      <c r="AE20" s="1" t="s">
        <v>48</v>
      </c>
      <c r="AF20" s="1" t="s">
        <v>8621</v>
      </c>
      <c r="AG20" s="1" t="str">
        <f>HYPERLINK("http://dx.doi.org/10.1051/ro/2021149","http://dx.doi.org/10.1051/ro/2021149")</f>
        <v>http://dx.doi.org/10.1051/ro/2021149</v>
      </c>
      <c r="AH20" s="1" t="s">
        <v>48</v>
      </c>
      <c r="AI20" s="1" t="s">
        <v>48</v>
      </c>
      <c r="AJ20" s="1">
        <v>19</v>
      </c>
      <c r="AK20" s="1" t="s">
        <v>580</v>
      </c>
      <c r="AL20" s="1" t="s">
        <v>67</v>
      </c>
      <c r="AM20" s="1" t="s">
        <v>580</v>
      </c>
      <c r="AN20" s="1" t="s">
        <v>48</v>
      </c>
      <c r="AO20" s="1" t="s">
        <v>1696</v>
      </c>
      <c r="AP20" s="1" t="s">
        <v>48</v>
      </c>
      <c r="AQ20" s="1" t="s">
        <v>48</v>
      </c>
      <c r="AR20" s="1" t="s">
        <v>10610</v>
      </c>
    </row>
    <row r="21" spans="1:44" x14ac:dyDescent="0.45">
      <c r="A21" s="1" t="s">
        <v>8622</v>
      </c>
      <c r="B21" s="1" t="s">
        <v>8623</v>
      </c>
      <c r="C21" s="1" t="s">
        <v>1812</v>
      </c>
      <c r="D21" s="1" t="s">
        <v>52</v>
      </c>
      <c r="E21" s="1" t="s">
        <v>53</v>
      </c>
      <c r="F21" s="1" t="s">
        <v>8624</v>
      </c>
      <c r="G21" s="1" t="s">
        <v>58</v>
      </c>
      <c r="H21" s="1" t="s">
        <v>1045</v>
      </c>
      <c r="I21" s="1">
        <v>36</v>
      </c>
      <c r="J21" s="1">
        <v>37</v>
      </c>
      <c r="K21" s="1">
        <v>3</v>
      </c>
      <c r="L21" s="1">
        <v>49</v>
      </c>
      <c r="M21" s="1" t="s">
        <v>503</v>
      </c>
      <c r="N21" s="1" t="s">
        <v>504</v>
      </c>
      <c r="O21" s="1" t="s">
        <v>505</v>
      </c>
      <c r="P21" s="1" t="s">
        <v>1814</v>
      </c>
      <c r="Q21" s="1" t="s">
        <v>1815</v>
      </c>
      <c r="R21" s="1" t="s">
        <v>48</v>
      </c>
      <c r="S21" s="1" t="s">
        <v>1816</v>
      </c>
      <c r="T21" s="1" t="s">
        <v>1817</v>
      </c>
      <c r="U21" s="1" t="s">
        <v>352</v>
      </c>
      <c r="V21" s="1">
        <v>2021</v>
      </c>
      <c r="W21" s="1">
        <v>25</v>
      </c>
      <c r="X21" s="1">
        <v>22</v>
      </c>
      <c r="Y21" s="1" t="s">
        <v>48</v>
      </c>
      <c r="Z21" s="1" t="s">
        <v>48</v>
      </c>
      <c r="AA21" s="1" t="s">
        <v>48</v>
      </c>
      <c r="AB21" s="1" t="s">
        <v>48</v>
      </c>
      <c r="AC21" s="1">
        <v>13869</v>
      </c>
      <c r="AD21" s="1">
        <v>13880</v>
      </c>
      <c r="AE21" s="1" t="s">
        <v>48</v>
      </c>
      <c r="AF21" s="1" t="s">
        <v>8625</v>
      </c>
      <c r="AG21" s="1" t="str">
        <f>HYPERLINK("http://dx.doi.org/10.1007/s00500-021-06252-9","http://dx.doi.org/10.1007/s00500-021-06252-9")</f>
        <v>http://dx.doi.org/10.1007/s00500-021-06252-9</v>
      </c>
      <c r="AH21" s="1" t="s">
        <v>48</v>
      </c>
      <c r="AI21" s="1" t="s">
        <v>10620</v>
      </c>
      <c r="AJ21" s="1">
        <v>12</v>
      </c>
      <c r="AK21" s="1" t="s">
        <v>1746</v>
      </c>
      <c r="AL21" s="1" t="s">
        <v>67</v>
      </c>
      <c r="AM21" s="1" t="s">
        <v>292</v>
      </c>
      <c r="AN21" s="1" t="s">
        <v>48</v>
      </c>
      <c r="AO21" s="1" t="s">
        <v>48</v>
      </c>
      <c r="AP21" s="1" t="s">
        <v>48</v>
      </c>
      <c r="AQ21" s="1" t="s">
        <v>48</v>
      </c>
      <c r="AR21" s="1" t="s">
        <v>10610</v>
      </c>
    </row>
    <row r="22" spans="1:44" x14ac:dyDescent="0.45">
      <c r="A22" s="1" t="s">
        <v>8575</v>
      </c>
      <c r="B22" s="1" t="s">
        <v>8576</v>
      </c>
      <c r="C22" s="1" t="s">
        <v>8577</v>
      </c>
      <c r="D22" s="1" t="s">
        <v>52</v>
      </c>
      <c r="E22" s="1" t="s">
        <v>53</v>
      </c>
      <c r="F22" s="1" t="s">
        <v>8578</v>
      </c>
      <c r="G22" s="1" t="s">
        <v>58</v>
      </c>
      <c r="H22" s="1" t="s">
        <v>1883</v>
      </c>
      <c r="I22" s="1">
        <v>44</v>
      </c>
      <c r="J22" s="1">
        <v>15</v>
      </c>
      <c r="K22" s="1">
        <v>2</v>
      </c>
      <c r="L22" s="1">
        <v>8</v>
      </c>
      <c r="M22" s="1" t="s">
        <v>79</v>
      </c>
      <c r="N22" s="1" t="s">
        <v>80</v>
      </c>
      <c r="O22" s="1" t="s">
        <v>81</v>
      </c>
      <c r="P22" s="1" t="s">
        <v>8579</v>
      </c>
      <c r="Q22" s="1" t="s">
        <v>8580</v>
      </c>
      <c r="R22" s="1" t="s">
        <v>48</v>
      </c>
      <c r="S22" s="1" t="s">
        <v>8581</v>
      </c>
      <c r="T22" s="1" t="s">
        <v>8582</v>
      </c>
      <c r="U22" s="1" t="s">
        <v>86</v>
      </c>
      <c r="V22" s="1">
        <v>2021</v>
      </c>
      <c r="W22" s="1">
        <v>24</v>
      </c>
      <c r="X22" s="1">
        <v>3</v>
      </c>
      <c r="Y22" s="1">
        <v>1</v>
      </c>
      <c r="Z22" s="1" t="s">
        <v>48</v>
      </c>
      <c r="AA22" s="1" t="s">
        <v>48</v>
      </c>
      <c r="AB22" s="1" t="s">
        <v>48</v>
      </c>
      <c r="AC22" s="1">
        <v>471</v>
      </c>
      <c r="AD22" s="1">
        <v>483</v>
      </c>
      <c r="AE22" s="1" t="s">
        <v>48</v>
      </c>
      <c r="AF22" s="1" t="s">
        <v>8583</v>
      </c>
      <c r="AG22" s="1" t="str">
        <f>HYPERLINK("http://dx.doi.org/10.1016/j.ejrs.2020.10.005","http://dx.doi.org/10.1016/j.ejrs.2020.10.005")</f>
        <v>http://dx.doi.org/10.1016/j.ejrs.2020.10.005</v>
      </c>
      <c r="AH22" s="1" t="s">
        <v>48</v>
      </c>
      <c r="AI22" s="1" t="s">
        <v>10620</v>
      </c>
      <c r="AJ22" s="1">
        <v>13</v>
      </c>
      <c r="AK22" s="1" t="s">
        <v>1896</v>
      </c>
      <c r="AL22" s="1" t="s">
        <v>944</v>
      </c>
      <c r="AM22" s="1" t="s">
        <v>1897</v>
      </c>
      <c r="AN22" s="1" t="s">
        <v>48</v>
      </c>
      <c r="AO22" s="1" t="s">
        <v>125</v>
      </c>
      <c r="AP22" s="1" t="s">
        <v>48</v>
      </c>
      <c r="AQ22" s="1" t="s">
        <v>48</v>
      </c>
      <c r="AR22" s="1" t="s">
        <v>10610</v>
      </c>
    </row>
    <row r="23" spans="1:44" x14ac:dyDescent="0.45">
      <c r="A23" s="1" t="s">
        <v>3949</v>
      </c>
      <c r="B23" s="1" t="s">
        <v>8584</v>
      </c>
      <c r="C23" s="1" t="s">
        <v>8585</v>
      </c>
      <c r="D23" s="1" t="s">
        <v>52</v>
      </c>
      <c r="E23" s="1" t="s">
        <v>53</v>
      </c>
      <c r="F23" s="1" t="s">
        <v>8586</v>
      </c>
      <c r="G23" s="1" t="s">
        <v>58</v>
      </c>
      <c r="H23" s="1" t="s">
        <v>8587</v>
      </c>
      <c r="I23" s="1">
        <v>46</v>
      </c>
      <c r="J23" s="1">
        <v>34</v>
      </c>
      <c r="K23" s="1">
        <v>7</v>
      </c>
      <c r="L23" s="1">
        <v>46</v>
      </c>
      <c r="M23" s="1" t="s">
        <v>79</v>
      </c>
      <c r="N23" s="1" t="s">
        <v>80</v>
      </c>
      <c r="O23" s="1" t="s">
        <v>81</v>
      </c>
      <c r="P23" s="1" t="s">
        <v>8588</v>
      </c>
      <c r="Q23" s="1" t="s">
        <v>8589</v>
      </c>
      <c r="R23" s="1" t="s">
        <v>48</v>
      </c>
      <c r="S23" s="1" t="s">
        <v>8590</v>
      </c>
      <c r="T23" s="1" t="s">
        <v>8591</v>
      </c>
      <c r="U23" s="1" t="s">
        <v>243</v>
      </c>
      <c r="V23" s="1">
        <v>2021</v>
      </c>
      <c r="W23" s="1">
        <v>2</v>
      </c>
      <c r="X23" s="1">
        <v>2</v>
      </c>
      <c r="Y23" s="1" t="s">
        <v>48</v>
      </c>
      <c r="Z23" s="1" t="s">
        <v>48</v>
      </c>
      <c r="AA23" s="1" t="s">
        <v>48</v>
      </c>
      <c r="AB23" s="1" t="s">
        <v>48</v>
      </c>
      <c r="AC23" s="1">
        <v>127</v>
      </c>
      <c r="AD23" s="1">
        <v>133</v>
      </c>
      <c r="AE23" s="1" t="s">
        <v>48</v>
      </c>
      <c r="AF23" s="1" t="s">
        <v>8592</v>
      </c>
      <c r="AG23" s="1" t="str">
        <f>HYPERLINK("http://dx.doi.org/10.1016/j.geosus.2021.06.002","http://dx.doi.org/10.1016/j.geosus.2021.06.002")</f>
        <v>http://dx.doi.org/10.1016/j.geosus.2021.06.002</v>
      </c>
      <c r="AH23" s="1" t="s">
        <v>48</v>
      </c>
      <c r="AI23" s="1" t="s">
        <v>10611</v>
      </c>
      <c r="AJ23" s="1">
        <v>7</v>
      </c>
      <c r="AK23" s="1" t="s">
        <v>8593</v>
      </c>
      <c r="AL23" s="1" t="s">
        <v>124</v>
      </c>
      <c r="AM23" s="1" t="s">
        <v>8594</v>
      </c>
      <c r="AN23" s="1" t="s">
        <v>48</v>
      </c>
      <c r="AO23" s="1" t="s">
        <v>125</v>
      </c>
      <c r="AP23" s="1" t="s">
        <v>48</v>
      </c>
      <c r="AQ23" s="1" t="s">
        <v>48</v>
      </c>
      <c r="AR23" s="1" t="s">
        <v>10610</v>
      </c>
    </row>
    <row r="24" spans="1:44" x14ac:dyDescent="0.45">
      <c r="A24" s="1" t="s">
        <v>1441</v>
      </c>
      <c r="B24" s="1" t="s">
        <v>8595</v>
      </c>
      <c r="C24" s="1" t="s">
        <v>8558</v>
      </c>
      <c r="D24" s="1" t="s">
        <v>52</v>
      </c>
      <c r="E24" s="1" t="s">
        <v>53</v>
      </c>
      <c r="F24" s="1" t="s">
        <v>8596</v>
      </c>
      <c r="G24" s="1" t="s">
        <v>58</v>
      </c>
      <c r="H24" s="1" t="s">
        <v>8597</v>
      </c>
      <c r="I24" s="1">
        <v>87</v>
      </c>
      <c r="J24" s="1">
        <v>13</v>
      </c>
      <c r="K24" s="1">
        <v>1</v>
      </c>
      <c r="L24" s="1">
        <v>27</v>
      </c>
      <c r="M24" s="1" t="s">
        <v>503</v>
      </c>
      <c r="N24" s="1" t="s">
        <v>504</v>
      </c>
      <c r="O24" s="1" t="s">
        <v>505</v>
      </c>
      <c r="P24" s="1" t="s">
        <v>8559</v>
      </c>
      <c r="Q24" s="1" t="s">
        <v>8560</v>
      </c>
      <c r="R24" s="1" t="s">
        <v>48</v>
      </c>
      <c r="S24" s="1" t="s">
        <v>8561</v>
      </c>
      <c r="T24" s="1" t="s">
        <v>8562</v>
      </c>
      <c r="U24" s="1" t="s">
        <v>911</v>
      </c>
      <c r="V24" s="1">
        <v>2021</v>
      </c>
      <c r="W24" s="1">
        <v>80</v>
      </c>
      <c r="X24" s="1">
        <v>8</v>
      </c>
      <c r="Y24" s="1" t="s">
        <v>48</v>
      </c>
      <c r="Z24" s="1" t="s">
        <v>48</v>
      </c>
      <c r="AA24" s="1" t="s">
        <v>48</v>
      </c>
      <c r="AB24" s="1" t="s">
        <v>48</v>
      </c>
      <c r="AC24" s="1" t="s">
        <v>48</v>
      </c>
      <c r="AD24" s="1" t="s">
        <v>48</v>
      </c>
      <c r="AE24" s="1">
        <v>306</v>
      </c>
      <c r="AF24" s="1" t="s">
        <v>8598</v>
      </c>
      <c r="AG24" s="1" t="str">
        <f>HYPERLINK("http://dx.doi.org/10.1007/s12665-021-09616-4","http://dx.doi.org/10.1007/s12665-021-09616-4")</f>
        <v>http://dx.doi.org/10.1007/s12665-021-09616-4</v>
      </c>
      <c r="AH24" s="1" t="s">
        <v>48</v>
      </c>
      <c r="AI24" s="1" t="s">
        <v>48</v>
      </c>
      <c r="AJ24" s="1">
        <v>18</v>
      </c>
      <c r="AK24" s="1" t="s">
        <v>1924</v>
      </c>
      <c r="AL24" s="1" t="s">
        <v>944</v>
      </c>
      <c r="AM24" s="1" t="s">
        <v>1926</v>
      </c>
      <c r="AN24" s="1" t="s">
        <v>48</v>
      </c>
      <c r="AO24" s="1" t="s">
        <v>48</v>
      </c>
      <c r="AP24" s="1" t="s">
        <v>48</v>
      </c>
      <c r="AQ24" s="1" t="s">
        <v>48</v>
      </c>
      <c r="AR24" s="1" t="s">
        <v>10610</v>
      </c>
    </row>
    <row r="25" spans="1:44" x14ac:dyDescent="0.45">
      <c r="A25" s="1" t="s">
        <v>977</v>
      </c>
      <c r="B25" s="1" t="s">
        <v>8527</v>
      </c>
      <c r="C25" s="1" t="s">
        <v>4719</v>
      </c>
      <c r="D25" s="1" t="s">
        <v>52</v>
      </c>
      <c r="E25" s="1" t="s">
        <v>444</v>
      </c>
      <c r="F25" s="1" t="s">
        <v>980</v>
      </c>
      <c r="G25" s="1" t="s">
        <v>58</v>
      </c>
      <c r="H25" s="1" t="s">
        <v>981</v>
      </c>
      <c r="I25" s="1">
        <v>27</v>
      </c>
      <c r="J25" s="1">
        <v>2</v>
      </c>
      <c r="K25" s="1">
        <v>1</v>
      </c>
      <c r="L25" s="1">
        <v>7</v>
      </c>
      <c r="M25" s="1" t="s">
        <v>79</v>
      </c>
      <c r="N25" s="1" t="s">
        <v>80</v>
      </c>
      <c r="O25" s="1" t="s">
        <v>81</v>
      </c>
      <c r="P25" s="1" t="s">
        <v>4723</v>
      </c>
      <c r="Q25" s="1" t="s">
        <v>4724</v>
      </c>
      <c r="R25" s="1" t="s">
        <v>48</v>
      </c>
      <c r="S25" s="1" t="s">
        <v>4725</v>
      </c>
      <c r="T25" s="1" t="s">
        <v>4726</v>
      </c>
      <c r="U25" s="1" t="s">
        <v>768</v>
      </c>
      <c r="V25" s="1">
        <v>2021</v>
      </c>
      <c r="W25" s="1">
        <v>791</v>
      </c>
      <c r="X25" s="1" t="s">
        <v>48</v>
      </c>
      <c r="Y25" s="1" t="s">
        <v>48</v>
      </c>
      <c r="Z25" s="1" t="s">
        <v>48</v>
      </c>
      <c r="AA25" s="1" t="s">
        <v>48</v>
      </c>
      <c r="AB25" s="1" t="s">
        <v>48</v>
      </c>
      <c r="AC25" s="1" t="s">
        <v>48</v>
      </c>
      <c r="AD25" s="1" t="s">
        <v>48</v>
      </c>
      <c r="AE25" s="1">
        <v>148498</v>
      </c>
      <c r="AF25" s="1" t="s">
        <v>8528</v>
      </c>
      <c r="AG25" s="1" t="str">
        <f>HYPERLINK("http://dx.doi.org/10.1016/j.scitotenv.2021.148498","http://dx.doi.org/10.1016/j.scitotenv.2021.148498")</f>
        <v>http://dx.doi.org/10.1016/j.scitotenv.2021.148498</v>
      </c>
      <c r="AH25" s="1" t="s">
        <v>48</v>
      </c>
      <c r="AI25" s="1" t="s">
        <v>10612</v>
      </c>
      <c r="AJ25" s="1">
        <v>5</v>
      </c>
      <c r="AK25" s="1" t="s">
        <v>438</v>
      </c>
      <c r="AL25" s="1" t="s">
        <v>67</v>
      </c>
      <c r="AM25" s="1" t="s">
        <v>439</v>
      </c>
      <c r="AN25" s="1">
        <v>34253324</v>
      </c>
      <c r="AO25" s="1" t="s">
        <v>48</v>
      </c>
      <c r="AP25" s="1" t="s">
        <v>48</v>
      </c>
      <c r="AQ25" s="1" t="s">
        <v>48</v>
      </c>
      <c r="AR25" s="1" t="s">
        <v>10610</v>
      </c>
    </row>
    <row r="26" spans="1:44" x14ac:dyDescent="0.45">
      <c r="A26" s="1" t="s">
        <v>1967</v>
      </c>
      <c r="B26" s="1" t="s">
        <v>8529</v>
      </c>
      <c r="C26" s="1" t="s">
        <v>1496</v>
      </c>
      <c r="D26" s="1" t="s">
        <v>52</v>
      </c>
      <c r="E26" s="1" t="s">
        <v>53</v>
      </c>
      <c r="F26" s="1" t="s">
        <v>8530</v>
      </c>
      <c r="G26" s="1" t="s">
        <v>58</v>
      </c>
      <c r="H26" s="1" t="s">
        <v>265</v>
      </c>
      <c r="I26" s="1">
        <v>49</v>
      </c>
      <c r="J26" s="1">
        <v>6</v>
      </c>
      <c r="K26" s="1">
        <v>3</v>
      </c>
      <c r="L26" s="1">
        <v>12</v>
      </c>
      <c r="M26" s="1" t="s">
        <v>79</v>
      </c>
      <c r="N26" s="1" t="s">
        <v>80</v>
      </c>
      <c r="O26" s="1" t="s">
        <v>81</v>
      </c>
      <c r="P26" s="1" t="s">
        <v>1498</v>
      </c>
      <c r="Q26" s="1" t="s">
        <v>48</v>
      </c>
      <c r="R26" s="1" t="s">
        <v>48</v>
      </c>
      <c r="S26" s="1" t="s">
        <v>1499</v>
      </c>
      <c r="T26" s="1" t="s">
        <v>1500</v>
      </c>
      <c r="U26" s="1" t="s">
        <v>598</v>
      </c>
      <c r="V26" s="1">
        <v>2021</v>
      </c>
      <c r="W26" s="1">
        <v>23</v>
      </c>
      <c r="X26" s="1" t="s">
        <v>48</v>
      </c>
      <c r="Y26" s="1" t="s">
        <v>48</v>
      </c>
      <c r="Z26" s="1" t="s">
        <v>48</v>
      </c>
      <c r="AA26" s="1" t="s">
        <v>48</v>
      </c>
      <c r="AB26" s="1" t="s">
        <v>48</v>
      </c>
      <c r="AC26" s="1" t="s">
        <v>48</v>
      </c>
      <c r="AD26" s="1" t="s">
        <v>48</v>
      </c>
      <c r="AE26" s="1">
        <v>101532</v>
      </c>
      <c r="AF26" s="1" t="s">
        <v>8531</v>
      </c>
      <c r="AG26" s="1" t="str">
        <f>HYPERLINK("http://dx.doi.org/10.1016/j.eti.2021.101532","http://dx.doi.org/10.1016/j.eti.2021.101532")</f>
        <v>http://dx.doi.org/10.1016/j.eti.2021.101532</v>
      </c>
      <c r="AH26" s="1" t="s">
        <v>48</v>
      </c>
      <c r="AI26" s="1" t="s">
        <v>10621</v>
      </c>
      <c r="AJ26" s="1">
        <v>11</v>
      </c>
      <c r="AK26" s="1" t="s">
        <v>1502</v>
      </c>
      <c r="AL26" s="1" t="s">
        <v>67</v>
      </c>
      <c r="AM26" s="1" t="s">
        <v>1503</v>
      </c>
      <c r="AN26" s="1" t="s">
        <v>48</v>
      </c>
      <c r="AO26" s="1" t="s">
        <v>48</v>
      </c>
      <c r="AP26" s="1" t="s">
        <v>48</v>
      </c>
      <c r="AQ26" s="1" t="s">
        <v>48</v>
      </c>
      <c r="AR26" s="1" t="s">
        <v>10610</v>
      </c>
    </row>
    <row r="27" spans="1:44" x14ac:dyDescent="0.45">
      <c r="A27" s="1" t="s">
        <v>8532</v>
      </c>
      <c r="B27" s="1" t="s">
        <v>8533</v>
      </c>
      <c r="C27" s="1" t="s">
        <v>8534</v>
      </c>
      <c r="D27" s="1" t="s">
        <v>52</v>
      </c>
      <c r="E27" s="1" t="s">
        <v>53</v>
      </c>
      <c r="F27" s="1" t="s">
        <v>8535</v>
      </c>
      <c r="G27" s="1" t="s">
        <v>58</v>
      </c>
      <c r="H27" s="1" t="s">
        <v>8536</v>
      </c>
      <c r="I27" s="1">
        <v>36</v>
      </c>
      <c r="J27" s="1">
        <v>19</v>
      </c>
      <c r="K27" s="1">
        <v>2</v>
      </c>
      <c r="L27" s="1">
        <v>36</v>
      </c>
      <c r="M27" s="1" t="s">
        <v>98</v>
      </c>
      <c r="N27" s="1" t="s">
        <v>99</v>
      </c>
      <c r="O27" s="1" t="s">
        <v>100</v>
      </c>
      <c r="P27" s="1" t="s">
        <v>8537</v>
      </c>
      <c r="Q27" s="1" t="s">
        <v>8538</v>
      </c>
      <c r="R27" s="1" t="s">
        <v>48</v>
      </c>
      <c r="S27" s="1" t="s">
        <v>8539</v>
      </c>
      <c r="T27" s="1" t="s">
        <v>8540</v>
      </c>
      <c r="U27" s="1" t="s">
        <v>598</v>
      </c>
      <c r="V27" s="1">
        <v>2021</v>
      </c>
      <c r="W27" s="1">
        <v>12</v>
      </c>
      <c r="X27" s="1">
        <v>2</v>
      </c>
      <c r="Y27" s="1" t="s">
        <v>48</v>
      </c>
      <c r="Z27" s="1" t="s">
        <v>48</v>
      </c>
      <c r="AA27" s="1" t="s">
        <v>48</v>
      </c>
      <c r="AB27" s="1" t="s">
        <v>48</v>
      </c>
      <c r="AC27" s="1">
        <v>190</v>
      </c>
      <c r="AD27" s="1">
        <v>208</v>
      </c>
      <c r="AE27" s="1">
        <v>976399621989910</v>
      </c>
      <c r="AF27" s="1" t="s">
        <v>8541</v>
      </c>
      <c r="AG27" s="1" t="str">
        <f>HYPERLINK("http://dx.doi.org/10.1177/0976399621989910","http://dx.doi.org/10.1177/0976399621989910")</f>
        <v>http://dx.doi.org/10.1177/0976399621989910</v>
      </c>
      <c r="AH27" s="1" t="s">
        <v>48</v>
      </c>
      <c r="AI27" s="1" t="s">
        <v>10618</v>
      </c>
      <c r="AJ27" s="1">
        <v>19</v>
      </c>
      <c r="AK27" s="1" t="s">
        <v>874</v>
      </c>
      <c r="AL27" s="1" t="s">
        <v>124</v>
      </c>
      <c r="AM27" s="1" t="s">
        <v>874</v>
      </c>
      <c r="AN27" s="1" t="s">
        <v>48</v>
      </c>
      <c r="AO27" s="1" t="s">
        <v>1696</v>
      </c>
      <c r="AP27" s="1" t="s">
        <v>48</v>
      </c>
      <c r="AQ27" s="1" t="s">
        <v>48</v>
      </c>
      <c r="AR27" s="1" t="s">
        <v>10610</v>
      </c>
    </row>
    <row r="28" spans="1:44" x14ac:dyDescent="0.45">
      <c r="A28" s="1" t="s">
        <v>8599</v>
      </c>
      <c r="B28" s="1" t="s">
        <v>8600</v>
      </c>
      <c r="C28" s="1" t="s">
        <v>8601</v>
      </c>
      <c r="D28" s="1" t="s">
        <v>52</v>
      </c>
      <c r="E28" s="1" t="s">
        <v>53</v>
      </c>
      <c r="F28" s="1" t="s">
        <v>8602</v>
      </c>
      <c r="G28" s="1" t="s">
        <v>58</v>
      </c>
      <c r="H28" s="1" t="s">
        <v>8603</v>
      </c>
      <c r="I28" s="1">
        <v>84</v>
      </c>
      <c r="J28" s="1">
        <v>8</v>
      </c>
      <c r="K28" s="1">
        <v>1</v>
      </c>
      <c r="L28" s="1">
        <v>20</v>
      </c>
      <c r="M28" s="1" t="s">
        <v>79</v>
      </c>
      <c r="N28" s="1" t="s">
        <v>80</v>
      </c>
      <c r="O28" s="1" t="s">
        <v>81</v>
      </c>
      <c r="P28" s="1" t="s">
        <v>8604</v>
      </c>
      <c r="Q28" s="1" t="s">
        <v>8605</v>
      </c>
      <c r="R28" s="1" t="s">
        <v>48</v>
      </c>
      <c r="S28" s="1" t="s">
        <v>8606</v>
      </c>
      <c r="T28" s="1" t="s">
        <v>8607</v>
      </c>
      <c r="U28" s="1" t="s">
        <v>86</v>
      </c>
      <c r="V28" s="1">
        <v>2021</v>
      </c>
      <c r="W28" s="1">
        <v>40</v>
      </c>
      <c r="X28" s="1" t="s">
        <v>48</v>
      </c>
      <c r="Y28" s="1" t="s">
        <v>48</v>
      </c>
      <c r="Z28" s="1" t="s">
        <v>48</v>
      </c>
      <c r="AA28" s="1" t="s">
        <v>48</v>
      </c>
      <c r="AB28" s="1" t="s">
        <v>48</v>
      </c>
      <c r="AC28" s="1" t="s">
        <v>48</v>
      </c>
      <c r="AD28" s="1" t="s">
        <v>48</v>
      </c>
      <c r="AE28" s="1">
        <v>100669</v>
      </c>
      <c r="AF28" s="1" t="s">
        <v>8608</v>
      </c>
      <c r="AG28" s="1" t="str">
        <f>HYPERLINK("http://dx.doi.org/10.1016/j.envdev.2021.100669","http://dx.doi.org/10.1016/j.envdev.2021.100669")</f>
        <v>http://dx.doi.org/10.1016/j.envdev.2021.100669</v>
      </c>
      <c r="AH28" s="1" t="s">
        <v>48</v>
      </c>
      <c r="AI28" s="1" t="s">
        <v>10616</v>
      </c>
      <c r="AJ28" s="1">
        <v>17</v>
      </c>
      <c r="AK28" s="1" t="s">
        <v>438</v>
      </c>
      <c r="AL28" s="1" t="s">
        <v>944</v>
      </c>
      <c r="AM28" s="1" t="s">
        <v>439</v>
      </c>
      <c r="AN28" s="1" t="s">
        <v>48</v>
      </c>
      <c r="AO28" s="1" t="s">
        <v>48</v>
      </c>
      <c r="AP28" s="1" t="s">
        <v>48</v>
      </c>
      <c r="AQ28" s="1" t="s">
        <v>48</v>
      </c>
      <c r="AR28" s="1" t="s">
        <v>10610</v>
      </c>
    </row>
    <row r="29" spans="1:44" x14ac:dyDescent="0.45">
      <c r="A29" s="1" t="s">
        <v>8609</v>
      </c>
      <c r="B29" s="1" t="s">
        <v>8610</v>
      </c>
      <c r="C29" s="1" t="s">
        <v>8611</v>
      </c>
      <c r="D29" s="1" t="s">
        <v>52</v>
      </c>
      <c r="E29" s="1" t="s">
        <v>53</v>
      </c>
      <c r="F29" s="1" t="s">
        <v>8612</v>
      </c>
      <c r="G29" s="1" t="s">
        <v>58</v>
      </c>
      <c r="H29" s="1" t="s">
        <v>265</v>
      </c>
      <c r="I29" s="1">
        <v>65</v>
      </c>
      <c r="J29" s="1">
        <v>5</v>
      </c>
      <c r="K29" s="1">
        <v>0</v>
      </c>
      <c r="L29" s="1">
        <v>11</v>
      </c>
      <c r="M29" s="1" t="s">
        <v>503</v>
      </c>
      <c r="N29" s="1" t="s">
        <v>542</v>
      </c>
      <c r="O29" s="1" t="s">
        <v>543</v>
      </c>
      <c r="P29" s="1" t="s">
        <v>48</v>
      </c>
      <c r="Q29" s="1" t="s">
        <v>8613</v>
      </c>
      <c r="R29" s="1" t="s">
        <v>48</v>
      </c>
      <c r="S29" s="1" t="s">
        <v>8614</v>
      </c>
      <c r="T29" s="1" t="s">
        <v>8615</v>
      </c>
      <c r="U29" s="1" t="s">
        <v>86</v>
      </c>
      <c r="V29" s="1">
        <v>2021</v>
      </c>
      <c r="W29" s="1">
        <v>19</v>
      </c>
      <c r="X29" s="1">
        <v>2</v>
      </c>
      <c r="Y29" s="1" t="s">
        <v>48</v>
      </c>
      <c r="Z29" s="1" t="s">
        <v>48</v>
      </c>
      <c r="AA29" s="1" t="s">
        <v>48</v>
      </c>
      <c r="AB29" s="1" t="s">
        <v>48</v>
      </c>
      <c r="AC29" s="1">
        <v>1457</v>
      </c>
      <c r="AD29" s="1">
        <v>1472</v>
      </c>
      <c r="AE29" s="1" t="s">
        <v>48</v>
      </c>
      <c r="AF29" s="1" t="s">
        <v>8616</v>
      </c>
      <c r="AG29" s="1" t="str">
        <f>HYPERLINK("http://dx.doi.org/10.1007/s40201-021-00701-1","http://dx.doi.org/10.1007/s40201-021-00701-1")</f>
        <v>http://dx.doi.org/10.1007/s40201-021-00701-1</v>
      </c>
      <c r="AH29" s="1" t="s">
        <v>48</v>
      </c>
      <c r="AI29" s="1" t="s">
        <v>10620</v>
      </c>
      <c r="AJ29" s="1">
        <v>16</v>
      </c>
      <c r="AK29" s="1" t="s">
        <v>8617</v>
      </c>
      <c r="AL29" s="1" t="s">
        <v>67</v>
      </c>
      <c r="AM29" s="1" t="s">
        <v>8618</v>
      </c>
      <c r="AN29" s="1">
        <v>34900280</v>
      </c>
      <c r="AO29" s="1" t="s">
        <v>1325</v>
      </c>
      <c r="AP29" s="1" t="s">
        <v>48</v>
      </c>
      <c r="AQ29" s="1" t="s">
        <v>48</v>
      </c>
      <c r="AR29" s="1" t="s">
        <v>10610</v>
      </c>
    </row>
    <row r="30" spans="1:44" x14ac:dyDescent="0.45">
      <c r="A30" s="1" t="s">
        <v>8663</v>
      </c>
      <c r="B30" s="1" t="s">
        <v>8664</v>
      </c>
      <c r="C30" s="1" t="s">
        <v>250</v>
      </c>
      <c r="D30" s="1" t="s">
        <v>52</v>
      </c>
      <c r="E30" s="1" t="s">
        <v>53</v>
      </c>
      <c r="F30" s="1" t="s">
        <v>8665</v>
      </c>
      <c r="G30" s="1" t="s">
        <v>58</v>
      </c>
      <c r="H30" s="1" t="s">
        <v>3564</v>
      </c>
      <c r="I30" s="1">
        <v>55</v>
      </c>
      <c r="J30" s="1">
        <v>42</v>
      </c>
      <c r="K30" s="1">
        <v>5</v>
      </c>
      <c r="L30" s="1">
        <v>21</v>
      </c>
      <c r="M30" s="1" t="s">
        <v>252</v>
      </c>
      <c r="N30" s="1" t="s">
        <v>253</v>
      </c>
      <c r="O30" s="1" t="s">
        <v>254</v>
      </c>
      <c r="P30" s="1" t="s">
        <v>255</v>
      </c>
      <c r="Q30" s="1" t="s">
        <v>256</v>
      </c>
      <c r="R30" s="1" t="s">
        <v>48</v>
      </c>
      <c r="S30" s="1" t="s">
        <v>257</v>
      </c>
      <c r="T30" s="1" t="s">
        <v>258</v>
      </c>
      <c r="U30" s="1" t="s">
        <v>436</v>
      </c>
      <c r="V30" s="1">
        <v>2021</v>
      </c>
      <c r="W30" s="1">
        <v>40</v>
      </c>
      <c r="X30" s="1">
        <v>6</v>
      </c>
      <c r="Y30" s="1" t="s">
        <v>48</v>
      </c>
      <c r="Z30" s="1" t="s">
        <v>48</v>
      </c>
      <c r="AA30" s="1" t="s">
        <v>48</v>
      </c>
      <c r="AB30" s="1" t="s">
        <v>48</v>
      </c>
      <c r="AC30" s="1" t="s">
        <v>48</v>
      </c>
      <c r="AD30" s="1" t="s">
        <v>48</v>
      </c>
      <c r="AE30" s="1">
        <v>227</v>
      </c>
      <c r="AF30" s="1" t="s">
        <v>8666</v>
      </c>
      <c r="AG30" s="1" t="str">
        <f>HYPERLINK("http://dx.doi.org/10.1007/s40314-021-01606-3","http://dx.doi.org/10.1007/s40314-021-01606-3")</f>
        <v>http://dx.doi.org/10.1007/s40314-021-01606-3</v>
      </c>
      <c r="AH30" s="1" t="s">
        <v>48</v>
      </c>
      <c r="AI30" s="1" t="s">
        <v>48</v>
      </c>
      <c r="AJ30" s="1">
        <v>17</v>
      </c>
      <c r="AK30" s="1" t="s">
        <v>260</v>
      </c>
      <c r="AL30" s="1" t="s">
        <v>67</v>
      </c>
      <c r="AM30" s="1" t="s">
        <v>137</v>
      </c>
      <c r="AN30" s="1" t="s">
        <v>48</v>
      </c>
      <c r="AO30" s="1" t="s">
        <v>48</v>
      </c>
      <c r="AP30" s="1" t="s">
        <v>48</v>
      </c>
      <c r="AQ30" s="1" t="s">
        <v>48</v>
      </c>
      <c r="AR30" s="1" t="s">
        <v>10610</v>
      </c>
    </row>
    <row r="31" spans="1:44" x14ac:dyDescent="0.45">
      <c r="A31" s="1" t="s">
        <v>1810</v>
      </c>
      <c r="B31" s="1" t="s">
        <v>8667</v>
      </c>
      <c r="C31" s="1" t="s">
        <v>2841</v>
      </c>
      <c r="D31" s="1" t="s">
        <v>52</v>
      </c>
      <c r="E31" s="1" t="s">
        <v>53</v>
      </c>
      <c r="F31" s="1" t="s">
        <v>1813</v>
      </c>
      <c r="G31" s="1" t="s">
        <v>58</v>
      </c>
      <c r="H31" s="1" t="s">
        <v>227</v>
      </c>
      <c r="I31" s="1">
        <v>48</v>
      </c>
      <c r="J31" s="1">
        <v>23</v>
      </c>
      <c r="K31" s="1">
        <v>0</v>
      </c>
      <c r="L31" s="1">
        <v>1</v>
      </c>
      <c r="M31" s="1" t="s">
        <v>1523</v>
      </c>
      <c r="N31" s="1" t="s">
        <v>632</v>
      </c>
      <c r="O31" s="1" t="s">
        <v>1524</v>
      </c>
      <c r="P31" s="1" t="s">
        <v>2844</v>
      </c>
      <c r="Q31" s="1" t="s">
        <v>2845</v>
      </c>
      <c r="R31" s="1" t="s">
        <v>48</v>
      </c>
      <c r="S31" s="1" t="s">
        <v>2846</v>
      </c>
      <c r="T31" s="1" t="s">
        <v>2847</v>
      </c>
      <c r="U31" s="1" t="s">
        <v>911</v>
      </c>
      <c r="V31" s="1">
        <v>2021</v>
      </c>
      <c r="W31" s="1">
        <v>6</v>
      </c>
      <c r="X31" s="1">
        <v>2</v>
      </c>
      <c r="Y31" s="1" t="s">
        <v>48</v>
      </c>
      <c r="Z31" s="1" t="s">
        <v>48</v>
      </c>
      <c r="AA31" s="1" t="s">
        <v>48</v>
      </c>
      <c r="AB31" s="1" t="s">
        <v>48</v>
      </c>
      <c r="AC31" s="1">
        <v>359</v>
      </c>
      <c r="AD31" s="1">
        <v>375</v>
      </c>
      <c r="AE31" s="1" t="s">
        <v>48</v>
      </c>
      <c r="AF31" s="1" t="s">
        <v>8668</v>
      </c>
      <c r="AG31" s="1" t="str">
        <f>HYPERLINK("http://dx.doi.org/10.1007/s41066-019-00191-5","http://dx.doi.org/10.1007/s41066-019-00191-5")</f>
        <v>http://dx.doi.org/10.1007/s41066-019-00191-5</v>
      </c>
      <c r="AH31" s="1" t="s">
        <v>48</v>
      </c>
      <c r="AI31" s="1" t="s">
        <v>48</v>
      </c>
      <c r="AJ31" s="1">
        <v>17</v>
      </c>
      <c r="AK31" s="1" t="s">
        <v>2849</v>
      </c>
      <c r="AL31" s="1" t="s">
        <v>124</v>
      </c>
      <c r="AM31" s="1" t="s">
        <v>292</v>
      </c>
      <c r="AN31" s="1" t="s">
        <v>48</v>
      </c>
      <c r="AO31" s="1" t="s">
        <v>48</v>
      </c>
      <c r="AP31" s="1" t="s">
        <v>48</v>
      </c>
      <c r="AQ31" s="1" t="s">
        <v>48</v>
      </c>
      <c r="AR31" s="1" t="s">
        <v>10610</v>
      </c>
    </row>
    <row r="32" spans="1:44" x14ac:dyDescent="0.45">
      <c r="A32" s="1" t="s">
        <v>8410</v>
      </c>
      <c r="B32" s="1" t="s">
        <v>8669</v>
      </c>
      <c r="C32" s="1" t="s">
        <v>1273</v>
      </c>
      <c r="D32" s="1" t="s">
        <v>52</v>
      </c>
      <c r="E32" s="1" t="s">
        <v>53</v>
      </c>
      <c r="F32" s="1" t="s">
        <v>8412</v>
      </c>
      <c r="G32" s="1" t="s">
        <v>58</v>
      </c>
      <c r="H32" s="1" t="s">
        <v>131</v>
      </c>
      <c r="I32" s="1">
        <v>43</v>
      </c>
      <c r="J32" s="1">
        <v>62</v>
      </c>
      <c r="K32" s="1">
        <v>1</v>
      </c>
      <c r="L32" s="1">
        <v>27</v>
      </c>
      <c r="M32" s="1" t="s">
        <v>215</v>
      </c>
      <c r="N32" s="1" t="s">
        <v>158</v>
      </c>
      <c r="O32" s="1" t="s">
        <v>216</v>
      </c>
      <c r="P32" s="1" t="s">
        <v>1276</v>
      </c>
      <c r="Q32" s="1" t="s">
        <v>1277</v>
      </c>
      <c r="R32" s="1" t="s">
        <v>48</v>
      </c>
      <c r="S32" s="1" t="s">
        <v>1278</v>
      </c>
      <c r="T32" s="1" t="s">
        <v>1279</v>
      </c>
      <c r="U32" s="1" t="s">
        <v>911</v>
      </c>
      <c r="V32" s="1">
        <v>2021</v>
      </c>
      <c r="W32" s="1">
        <v>100</v>
      </c>
      <c r="X32" s="1" t="s">
        <v>48</v>
      </c>
      <c r="Y32" s="1" t="s">
        <v>48</v>
      </c>
      <c r="Z32" s="1" t="s">
        <v>48</v>
      </c>
      <c r="AA32" s="1" t="s">
        <v>48</v>
      </c>
      <c r="AB32" s="1" t="s">
        <v>48</v>
      </c>
      <c r="AC32" s="1" t="s">
        <v>48</v>
      </c>
      <c r="AD32" s="1" t="s">
        <v>48</v>
      </c>
      <c r="AE32" s="1" t="s">
        <v>48</v>
      </c>
      <c r="AF32" s="1" t="s">
        <v>8670</v>
      </c>
      <c r="AG32" s="1" t="str">
        <f>HYPERLINK("http://dx.doi.org/10.1016/j.engappai.2021.104203","http://dx.doi.org/10.1016/j.engappai.2021.104203")</f>
        <v>http://dx.doi.org/10.1016/j.engappai.2021.104203</v>
      </c>
      <c r="AH32" s="1" t="s">
        <v>48</v>
      </c>
      <c r="AI32" s="1" t="s">
        <v>10617</v>
      </c>
      <c r="AJ32" s="1">
        <v>10</v>
      </c>
      <c r="AK32" s="1" t="s">
        <v>1281</v>
      </c>
      <c r="AL32" s="1" t="s">
        <v>67</v>
      </c>
      <c r="AM32" s="1" t="s">
        <v>1282</v>
      </c>
      <c r="AN32" s="1" t="s">
        <v>48</v>
      </c>
      <c r="AO32" s="1" t="s">
        <v>48</v>
      </c>
      <c r="AP32" s="1" t="s">
        <v>48</v>
      </c>
      <c r="AQ32" s="1" t="s">
        <v>48</v>
      </c>
      <c r="AR32" s="1" t="s">
        <v>10610</v>
      </c>
    </row>
    <row r="33" spans="1:44" x14ac:dyDescent="0.45">
      <c r="A33" s="1" t="s">
        <v>166</v>
      </c>
      <c r="B33" s="1" t="s">
        <v>8671</v>
      </c>
      <c r="C33" s="1" t="s">
        <v>168</v>
      </c>
      <c r="D33" s="1" t="s">
        <v>52</v>
      </c>
      <c r="E33" s="1" t="s">
        <v>53</v>
      </c>
      <c r="F33" s="1" t="s">
        <v>8672</v>
      </c>
      <c r="G33" s="1" t="s">
        <v>58</v>
      </c>
      <c r="H33" s="1" t="s">
        <v>8673</v>
      </c>
      <c r="I33" s="1">
        <v>53</v>
      </c>
      <c r="J33" s="1">
        <v>3</v>
      </c>
      <c r="K33" s="1">
        <v>2</v>
      </c>
      <c r="L33" s="1">
        <v>7</v>
      </c>
      <c r="M33" s="1" t="s">
        <v>145</v>
      </c>
      <c r="N33" s="1" t="s">
        <v>146</v>
      </c>
      <c r="O33" s="1" t="s">
        <v>147</v>
      </c>
      <c r="P33" s="1" t="s">
        <v>171</v>
      </c>
      <c r="Q33" s="1" t="s">
        <v>172</v>
      </c>
      <c r="R33" s="1" t="s">
        <v>48</v>
      </c>
      <c r="S33" s="1" t="s">
        <v>173</v>
      </c>
      <c r="T33" s="1" t="s">
        <v>174</v>
      </c>
      <c r="U33" s="1" t="s">
        <v>890</v>
      </c>
      <c r="V33" s="1">
        <v>2021</v>
      </c>
      <c r="W33" s="1">
        <v>14</v>
      </c>
      <c r="X33" s="1">
        <v>1</v>
      </c>
      <c r="Y33" s="1" t="s">
        <v>48</v>
      </c>
      <c r="Z33" s="1" t="s">
        <v>48</v>
      </c>
      <c r="AA33" s="1" t="s">
        <v>48</v>
      </c>
      <c r="AB33" s="1" t="s">
        <v>48</v>
      </c>
      <c r="AC33" s="1">
        <v>3</v>
      </c>
      <c r="AD33" s="1">
        <v>32</v>
      </c>
      <c r="AE33" s="1" t="s">
        <v>48</v>
      </c>
      <c r="AF33" s="1" t="s">
        <v>8674</v>
      </c>
      <c r="AG33" s="1" t="str">
        <f>HYPERLINK("http://dx.doi.org/10.1080/1751696X.2021.1865641","http://dx.doi.org/10.1080/1751696X.2021.1865641")</f>
        <v>http://dx.doi.org/10.1080/1751696X.2021.1865641</v>
      </c>
      <c r="AH33" s="1" t="s">
        <v>48</v>
      </c>
      <c r="AI33" s="1" t="s">
        <v>10617</v>
      </c>
      <c r="AJ33" s="1">
        <v>30</v>
      </c>
      <c r="AK33" s="1" t="s">
        <v>177</v>
      </c>
      <c r="AL33" s="1" t="s">
        <v>178</v>
      </c>
      <c r="AM33" s="1" t="s">
        <v>177</v>
      </c>
      <c r="AN33" s="1" t="s">
        <v>48</v>
      </c>
      <c r="AO33" s="1" t="s">
        <v>48</v>
      </c>
      <c r="AP33" s="1" t="s">
        <v>48</v>
      </c>
      <c r="AQ33" s="1" t="s">
        <v>48</v>
      </c>
      <c r="AR33" s="1" t="s">
        <v>10610</v>
      </c>
    </row>
    <row r="34" spans="1:44" x14ac:dyDescent="0.45">
      <c r="A34" s="1" t="s">
        <v>8675</v>
      </c>
      <c r="B34" s="1" t="s">
        <v>8676</v>
      </c>
      <c r="C34" s="1" t="s">
        <v>8677</v>
      </c>
      <c r="D34" s="1" t="s">
        <v>52</v>
      </c>
      <c r="E34" s="1" t="s">
        <v>53</v>
      </c>
      <c r="F34" s="1" t="s">
        <v>8678</v>
      </c>
      <c r="G34" s="1" t="s">
        <v>58</v>
      </c>
      <c r="H34" s="1" t="s">
        <v>8679</v>
      </c>
      <c r="I34" s="1">
        <v>50</v>
      </c>
      <c r="J34" s="1">
        <v>8</v>
      </c>
      <c r="K34" s="1">
        <v>2</v>
      </c>
      <c r="L34" s="1">
        <v>20</v>
      </c>
      <c r="M34" s="1" t="s">
        <v>1523</v>
      </c>
      <c r="N34" s="1" t="s">
        <v>632</v>
      </c>
      <c r="O34" s="1" t="s">
        <v>1524</v>
      </c>
      <c r="P34" s="1" t="s">
        <v>8680</v>
      </c>
      <c r="Q34" s="1" t="s">
        <v>8681</v>
      </c>
      <c r="R34" s="1" t="s">
        <v>48</v>
      </c>
      <c r="S34" s="1" t="s">
        <v>8682</v>
      </c>
      <c r="T34" s="1" t="s">
        <v>8683</v>
      </c>
      <c r="U34" s="1" t="s">
        <v>243</v>
      </c>
      <c r="V34" s="1">
        <v>2022</v>
      </c>
      <c r="W34" s="1">
        <v>5</v>
      </c>
      <c r="X34" s="1">
        <v>3</v>
      </c>
      <c r="Y34" s="1" t="s">
        <v>48</v>
      </c>
      <c r="Z34" s="1" t="s">
        <v>48</v>
      </c>
      <c r="AA34" s="1" t="s">
        <v>48</v>
      </c>
      <c r="AB34" s="1" t="s">
        <v>48</v>
      </c>
      <c r="AC34" s="1">
        <v>945</v>
      </c>
      <c r="AD34" s="1">
        <v>955</v>
      </c>
      <c r="AE34" s="1" t="s">
        <v>48</v>
      </c>
      <c r="AF34" s="1" t="s">
        <v>8684</v>
      </c>
      <c r="AG34" s="1" t="str">
        <f>HYPERLINK("http://dx.doi.org/10.1007/s42247-021-00245-y","http://dx.doi.org/10.1007/s42247-021-00245-y")</f>
        <v>http://dx.doi.org/10.1007/s42247-021-00245-y</v>
      </c>
      <c r="AH34" s="1" t="s">
        <v>48</v>
      </c>
      <c r="AI34" s="1" t="s">
        <v>10611</v>
      </c>
      <c r="AJ34" s="1">
        <v>11</v>
      </c>
      <c r="AK34" s="1" t="s">
        <v>1876</v>
      </c>
      <c r="AL34" s="1" t="s">
        <v>124</v>
      </c>
      <c r="AM34" s="1" t="s">
        <v>1877</v>
      </c>
      <c r="AN34" s="1" t="s">
        <v>48</v>
      </c>
      <c r="AO34" s="1" t="s">
        <v>48</v>
      </c>
      <c r="AP34" s="1" t="s">
        <v>48</v>
      </c>
      <c r="AQ34" s="1" t="s">
        <v>48</v>
      </c>
      <c r="AR34" s="1" t="s">
        <v>10610</v>
      </c>
    </row>
    <row r="35" spans="1:44" x14ac:dyDescent="0.45">
      <c r="A35" s="1" t="s">
        <v>8685</v>
      </c>
      <c r="B35" s="1" t="s">
        <v>8686</v>
      </c>
      <c r="C35" s="1" t="s">
        <v>8687</v>
      </c>
      <c r="D35" s="1" t="s">
        <v>52</v>
      </c>
      <c r="E35" s="1" t="s">
        <v>53</v>
      </c>
      <c r="F35" s="1" t="s">
        <v>8688</v>
      </c>
      <c r="G35" s="1" t="s">
        <v>58</v>
      </c>
      <c r="H35" s="1" t="s">
        <v>8679</v>
      </c>
      <c r="I35" s="1">
        <v>51</v>
      </c>
      <c r="J35" s="1">
        <v>4</v>
      </c>
      <c r="K35" s="1">
        <v>2</v>
      </c>
      <c r="L35" s="1">
        <v>24</v>
      </c>
      <c r="M35" s="1" t="s">
        <v>503</v>
      </c>
      <c r="N35" s="1" t="s">
        <v>504</v>
      </c>
      <c r="O35" s="1" t="s">
        <v>505</v>
      </c>
      <c r="P35" s="1" t="s">
        <v>8689</v>
      </c>
      <c r="Q35" s="1" t="s">
        <v>8690</v>
      </c>
      <c r="R35" s="1" t="s">
        <v>48</v>
      </c>
      <c r="S35" s="1" t="s">
        <v>8691</v>
      </c>
      <c r="T35" s="1" t="s">
        <v>8692</v>
      </c>
      <c r="U35" s="1" t="s">
        <v>320</v>
      </c>
      <c r="V35" s="1">
        <v>2021</v>
      </c>
      <c r="W35" s="1">
        <v>50</v>
      </c>
      <c r="X35" s="1">
        <v>3</v>
      </c>
      <c r="Y35" s="1" t="s">
        <v>48</v>
      </c>
      <c r="Z35" s="1" t="s">
        <v>48</v>
      </c>
      <c r="AA35" s="1" t="s">
        <v>1260</v>
      </c>
      <c r="AB35" s="1" t="s">
        <v>48</v>
      </c>
      <c r="AC35" s="1">
        <v>1177</v>
      </c>
      <c r="AD35" s="1">
        <v>1188</v>
      </c>
      <c r="AE35" s="1" t="s">
        <v>48</v>
      </c>
      <c r="AF35" s="1" t="s">
        <v>8693</v>
      </c>
      <c r="AG35" s="1" t="str">
        <f>HYPERLINK("http://dx.doi.org/10.1007/s11664-020-08621-w","http://dx.doi.org/10.1007/s11664-020-08621-w")</f>
        <v>http://dx.doi.org/10.1007/s11664-020-08621-w</v>
      </c>
      <c r="AH35" s="1" t="s">
        <v>48</v>
      </c>
      <c r="AI35" s="1" t="s">
        <v>10619</v>
      </c>
      <c r="AJ35" s="1">
        <v>12</v>
      </c>
      <c r="AK35" s="1" t="s">
        <v>8694</v>
      </c>
      <c r="AL35" s="1" t="s">
        <v>67</v>
      </c>
      <c r="AM35" s="1" t="s">
        <v>2629</v>
      </c>
      <c r="AN35" s="1" t="s">
        <v>48</v>
      </c>
      <c r="AO35" s="1" t="s">
        <v>48</v>
      </c>
      <c r="AP35" s="1" t="s">
        <v>48</v>
      </c>
      <c r="AQ35" s="1" t="s">
        <v>48</v>
      </c>
      <c r="AR35" s="1" t="s">
        <v>10610</v>
      </c>
    </row>
    <row r="36" spans="1:44" x14ac:dyDescent="0.45">
      <c r="A36" s="1" t="s">
        <v>1012</v>
      </c>
      <c r="B36" s="1" t="s">
        <v>8653</v>
      </c>
      <c r="C36" s="1" t="s">
        <v>2841</v>
      </c>
      <c r="D36" s="1" t="s">
        <v>52</v>
      </c>
      <c r="E36" s="1" t="s">
        <v>53</v>
      </c>
      <c r="F36" s="1" t="s">
        <v>8654</v>
      </c>
      <c r="G36" s="1" t="s">
        <v>58</v>
      </c>
      <c r="H36" s="1" t="s">
        <v>8655</v>
      </c>
      <c r="I36" s="1">
        <v>52</v>
      </c>
      <c r="J36" s="1">
        <v>18</v>
      </c>
      <c r="K36" s="1">
        <v>0</v>
      </c>
      <c r="L36" s="1">
        <v>1</v>
      </c>
      <c r="M36" s="1" t="s">
        <v>1523</v>
      </c>
      <c r="N36" s="1" t="s">
        <v>632</v>
      </c>
      <c r="O36" s="1" t="s">
        <v>1524</v>
      </c>
      <c r="P36" s="1" t="s">
        <v>2844</v>
      </c>
      <c r="Q36" s="1" t="s">
        <v>2845</v>
      </c>
      <c r="R36" s="1" t="s">
        <v>48</v>
      </c>
      <c r="S36" s="1" t="s">
        <v>2846</v>
      </c>
      <c r="T36" s="1" t="s">
        <v>2847</v>
      </c>
      <c r="U36" s="1" t="s">
        <v>103</v>
      </c>
      <c r="V36" s="1">
        <v>2022</v>
      </c>
      <c r="W36" s="1">
        <v>7</v>
      </c>
      <c r="X36" s="1">
        <v>3</v>
      </c>
      <c r="Y36" s="1" t="s">
        <v>48</v>
      </c>
      <c r="Z36" s="1" t="s">
        <v>48</v>
      </c>
      <c r="AA36" s="1" t="s">
        <v>48</v>
      </c>
      <c r="AB36" s="1" t="s">
        <v>48</v>
      </c>
      <c r="AC36" s="1">
        <v>549</v>
      </c>
      <c r="AD36" s="1">
        <v>559</v>
      </c>
      <c r="AE36" s="1" t="s">
        <v>48</v>
      </c>
      <c r="AF36" s="1" t="s">
        <v>8656</v>
      </c>
      <c r="AG36" s="1" t="str">
        <f>HYPERLINK("http://dx.doi.org/10.1007/s41066-021-00284-0","http://dx.doi.org/10.1007/s41066-021-00284-0")</f>
        <v>http://dx.doi.org/10.1007/s41066-021-00284-0</v>
      </c>
      <c r="AH36" s="1" t="s">
        <v>48</v>
      </c>
      <c r="AI36" s="1" t="s">
        <v>10620</v>
      </c>
      <c r="AJ36" s="1">
        <v>11</v>
      </c>
      <c r="AK36" s="1" t="s">
        <v>2849</v>
      </c>
      <c r="AL36" s="1" t="s">
        <v>124</v>
      </c>
      <c r="AM36" s="1" t="s">
        <v>292</v>
      </c>
      <c r="AN36" s="1">
        <v>38624987</v>
      </c>
      <c r="AO36" s="1" t="s">
        <v>550</v>
      </c>
      <c r="AP36" s="1" t="s">
        <v>48</v>
      </c>
      <c r="AQ36" s="1" t="s">
        <v>48</v>
      </c>
      <c r="AR36" s="1" t="s">
        <v>10610</v>
      </c>
    </row>
    <row r="37" spans="1:44" x14ac:dyDescent="0.45">
      <c r="A37" s="1" t="s">
        <v>2184</v>
      </c>
      <c r="B37" s="1" t="s">
        <v>8657</v>
      </c>
      <c r="C37" s="1" t="s">
        <v>571</v>
      </c>
      <c r="D37" s="1" t="s">
        <v>52</v>
      </c>
      <c r="E37" s="1" t="s">
        <v>53</v>
      </c>
      <c r="F37" s="1" t="s">
        <v>2186</v>
      </c>
      <c r="G37" s="1" t="s">
        <v>58</v>
      </c>
      <c r="H37" s="1" t="s">
        <v>227</v>
      </c>
      <c r="I37" s="1">
        <v>41</v>
      </c>
      <c r="J37" s="1">
        <v>37</v>
      </c>
      <c r="K37" s="1">
        <v>2</v>
      </c>
      <c r="L37" s="1">
        <v>11</v>
      </c>
      <c r="M37" s="1" t="s">
        <v>572</v>
      </c>
      <c r="N37" s="1" t="s">
        <v>573</v>
      </c>
      <c r="O37" s="1" t="s">
        <v>574</v>
      </c>
      <c r="P37" s="1" t="s">
        <v>575</v>
      </c>
      <c r="Q37" s="1" t="s">
        <v>8620</v>
      </c>
      <c r="R37" s="1" t="s">
        <v>48</v>
      </c>
      <c r="S37" s="1" t="s">
        <v>577</v>
      </c>
      <c r="T37" s="1" t="s">
        <v>578</v>
      </c>
      <c r="U37" s="1" t="s">
        <v>10622</v>
      </c>
      <c r="V37" s="1">
        <v>2021</v>
      </c>
      <c r="W37" s="1">
        <v>55</v>
      </c>
      <c r="X37" s="1" t="s">
        <v>48</v>
      </c>
      <c r="Y37" s="1" t="s">
        <v>48</v>
      </c>
      <c r="Z37" s="1" t="s">
        <v>1913</v>
      </c>
      <c r="AA37" s="1" t="s">
        <v>48</v>
      </c>
      <c r="AB37" s="1" t="s">
        <v>48</v>
      </c>
      <c r="AC37" s="1" t="s">
        <v>8658</v>
      </c>
      <c r="AD37" s="1" t="s">
        <v>8659</v>
      </c>
      <c r="AE37" s="1" t="s">
        <v>48</v>
      </c>
      <c r="AF37" s="1" t="s">
        <v>8660</v>
      </c>
      <c r="AG37" s="1" t="str">
        <f>HYPERLINK("http://dx.doi.org/10.1051/ro/2020129","http://dx.doi.org/10.1051/ro/2020129")</f>
        <v>http://dx.doi.org/10.1051/ro/2020129</v>
      </c>
      <c r="AH37" s="1" t="s">
        <v>48</v>
      </c>
      <c r="AI37" s="1" t="s">
        <v>48</v>
      </c>
      <c r="AJ37" s="1">
        <v>30</v>
      </c>
      <c r="AK37" s="1" t="s">
        <v>580</v>
      </c>
      <c r="AL37" s="1" t="s">
        <v>67</v>
      </c>
      <c r="AM37" s="1" t="s">
        <v>580</v>
      </c>
      <c r="AN37" s="1" t="s">
        <v>48</v>
      </c>
      <c r="AO37" s="1" t="s">
        <v>550</v>
      </c>
      <c r="AP37" s="1" t="s">
        <v>48</v>
      </c>
      <c r="AQ37" s="1" t="s">
        <v>48</v>
      </c>
      <c r="AR37" s="1" t="s">
        <v>10610</v>
      </c>
    </row>
    <row r="38" spans="1:44" x14ac:dyDescent="0.45">
      <c r="A38" s="1" t="s">
        <v>8458</v>
      </c>
      <c r="B38" s="1" t="s">
        <v>8661</v>
      </c>
      <c r="C38" s="1" t="s">
        <v>8547</v>
      </c>
      <c r="D38" s="1" t="s">
        <v>52</v>
      </c>
      <c r="E38" s="1" t="s">
        <v>53</v>
      </c>
      <c r="F38" s="1" t="s">
        <v>8460</v>
      </c>
      <c r="G38" s="1" t="s">
        <v>58</v>
      </c>
      <c r="H38" s="1" t="s">
        <v>131</v>
      </c>
      <c r="I38" s="1">
        <v>42</v>
      </c>
      <c r="J38" s="1">
        <v>21</v>
      </c>
      <c r="K38" s="1">
        <v>0</v>
      </c>
      <c r="L38" s="1">
        <v>10</v>
      </c>
      <c r="M38" s="1" t="s">
        <v>252</v>
      </c>
      <c r="N38" s="1" t="s">
        <v>253</v>
      </c>
      <c r="O38" s="1" t="s">
        <v>254</v>
      </c>
      <c r="P38" s="1" t="s">
        <v>8549</v>
      </c>
      <c r="Q38" s="1" t="s">
        <v>8550</v>
      </c>
      <c r="R38" s="1" t="s">
        <v>48</v>
      </c>
      <c r="S38" s="1" t="s">
        <v>8551</v>
      </c>
      <c r="T38" s="1" t="s">
        <v>8552</v>
      </c>
      <c r="U38" s="1" t="s">
        <v>386</v>
      </c>
      <c r="V38" s="1">
        <v>2022</v>
      </c>
      <c r="W38" s="1">
        <v>13</v>
      </c>
      <c r="X38" s="1">
        <v>1</v>
      </c>
      <c r="Y38" s="1" t="s">
        <v>48</v>
      </c>
      <c r="Z38" s="1" t="s">
        <v>48</v>
      </c>
      <c r="AA38" s="1" t="s">
        <v>48</v>
      </c>
      <c r="AB38" s="1" t="s">
        <v>48</v>
      </c>
      <c r="AC38" s="1">
        <v>501</v>
      </c>
      <c r="AD38" s="1">
        <v>514</v>
      </c>
      <c r="AE38" s="1" t="s">
        <v>48</v>
      </c>
      <c r="AF38" s="1" t="s">
        <v>8662</v>
      </c>
      <c r="AG38" s="1" t="str">
        <f>HYPERLINK("http://dx.doi.org/10.1007/s12652-021-02914-6","http://dx.doi.org/10.1007/s12652-021-02914-6")</f>
        <v>http://dx.doi.org/10.1007/s12652-021-02914-6</v>
      </c>
      <c r="AH38" s="1" t="s">
        <v>48</v>
      </c>
      <c r="AI38" s="1" t="s">
        <v>10617</v>
      </c>
      <c r="AJ38" s="1">
        <v>14</v>
      </c>
      <c r="AK38" s="1" t="s">
        <v>8555</v>
      </c>
      <c r="AL38" s="1" t="s">
        <v>67</v>
      </c>
      <c r="AM38" s="1" t="s">
        <v>8556</v>
      </c>
      <c r="AN38" s="1" t="s">
        <v>48</v>
      </c>
      <c r="AO38" s="1" t="s">
        <v>48</v>
      </c>
      <c r="AP38" s="1" t="s">
        <v>48</v>
      </c>
      <c r="AQ38" s="1" t="s">
        <v>48</v>
      </c>
      <c r="AR38" s="1" t="s">
        <v>10610</v>
      </c>
    </row>
    <row r="39" spans="1:44" x14ac:dyDescent="0.45">
      <c r="A39" s="1" t="s">
        <v>8545</v>
      </c>
      <c r="B39" s="1" t="s">
        <v>8546</v>
      </c>
      <c r="C39" s="1" t="s">
        <v>8547</v>
      </c>
      <c r="D39" s="1" t="s">
        <v>52</v>
      </c>
      <c r="E39" s="1" t="s">
        <v>111</v>
      </c>
      <c r="F39" s="1" t="s">
        <v>8548</v>
      </c>
      <c r="G39" s="1" t="s">
        <v>58</v>
      </c>
      <c r="H39" s="1" t="s">
        <v>227</v>
      </c>
      <c r="I39" s="1">
        <v>38</v>
      </c>
      <c r="J39" s="1">
        <v>8</v>
      </c>
      <c r="K39" s="1">
        <v>0</v>
      </c>
      <c r="L39" s="1">
        <v>5</v>
      </c>
      <c r="M39" s="1" t="s">
        <v>252</v>
      </c>
      <c r="N39" s="1" t="s">
        <v>253</v>
      </c>
      <c r="O39" s="1" t="s">
        <v>254</v>
      </c>
      <c r="P39" s="1" t="s">
        <v>8549</v>
      </c>
      <c r="Q39" s="1" t="s">
        <v>8550</v>
      </c>
      <c r="R39" s="1" t="s">
        <v>48</v>
      </c>
      <c r="S39" s="1" t="s">
        <v>8551</v>
      </c>
      <c r="T39" s="1" t="s">
        <v>8552</v>
      </c>
      <c r="U39" s="1" t="s">
        <v>8553</v>
      </c>
      <c r="V39" s="1">
        <v>2021</v>
      </c>
      <c r="W39" s="1" t="s">
        <v>48</v>
      </c>
      <c r="X39" s="1" t="s">
        <v>48</v>
      </c>
      <c r="Y39" s="1" t="s">
        <v>48</v>
      </c>
      <c r="Z39" s="1" t="s">
        <v>48</v>
      </c>
      <c r="AA39" s="1" t="s">
        <v>48</v>
      </c>
      <c r="AB39" s="1" t="s">
        <v>48</v>
      </c>
      <c r="AC39" s="1" t="s">
        <v>48</v>
      </c>
      <c r="AD39" s="1" t="s">
        <v>48</v>
      </c>
      <c r="AE39" s="1" t="s">
        <v>48</v>
      </c>
      <c r="AF39" s="1" t="s">
        <v>8554</v>
      </c>
      <c r="AG39" s="1" t="str">
        <f>HYPERLINK("http://dx.doi.org/10.1007/s12652-021-03554-6","http://dx.doi.org/10.1007/s12652-021-03554-6")</f>
        <v>http://dx.doi.org/10.1007/s12652-021-03554-6</v>
      </c>
      <c r="AH39" s="1" t="s">
        <v>48</v>
      </c>
      <c r="AI39" s="1" t="s">
        <v>10616</v>
      </c>
      <c r="AJ39" s="1">
        <v>25</v>
      </c>
      <c r="AK39" s="1" t="s">
        <v>8555</v>
      </c>
      <c r="AL39" s="1" t="s">
        <v>67</v>
      </c>
      <c r="AM39" s="1" t="s">
        <v>8556</v>
      </c>
      <c r="AN39" s="1" t="s">
        <v>48</v>
      </c>
      <c r="AO39" s="1" t="s">
        <v>48</v>
      </c>
      <c r="AP39" s="1" t="s">
        <v>48</v>
      </c>
      <c r="AQ39" s="1" t="s">
        <v>48</v>
      </c>
      <c r="AR39" s="1" t="s">
        <v>10610</v>
      </c>
    </row>
    <row r="40" spans="1:44" x14ac:dyDescent="0.45">
      <c r="A40" s="1" t="s">
        <v>8454</v>
      </c>
      <c r="B40" s="1" t="s">
        <v>8557</v>
      </c>
      <c r="C40" s="1" t="s">
        <v>8558</v>
      </c>
      <c r="D40" s="1" t="s">
        <v>52</v>
      </c>
      <c r="E40" s="1" t="s">
        <v>53</v>
      </c>
      <c r="F40" s="1" t="s">
        <v>8456</v>
      </c>
      <c r="G40" s="1" t="s">
        <v>58</v>
      </c>
      <c r="H40" s="1" t="s">
        <v>6277</v>
      </c>
      <c r="I40" s="1">
        <v>46</v>
      </c>
      <c r="J40" s="1">
        <v>55</v>
      </c>
      <c r="K40" s="1">
        <v>1</v>
      </c>
      <c r="L40" s="1">
        <v>42</v>
      </c>
      <c r="M40" s="1" t="s">
        <v>503</v>
      </c>
      <c r="N40" s="1" t="s">
        <v>504</v>
      </c>
      <c r="O40" s="1" t="s">
        <v>505</v>
      </c>
      <c r="P40" s="1" t="s">
        <v>8559</v>
      </c>
      <c r="Q40" s="1" t="s">
        <v>8560</v>
      </c>
      <c r="R40" s="1" t="s">
        <v>48</v>
      </c>
      <c r="S40" s="1" t="s">
        <v>8561</v>
      </c>
      <c r="T40" s="1" t="s">
        <v>8562</v>
      </c>
      <c r="U40" s="1" t="s">
        <v>911</v>
      </c>
      <c r="V40" s="1">
        <v>2021</v>
      </c>
      <c r="W40" s="1">
        <v>80</v>
      </c>
      <c r="X40" s="1">
        <v>8</v>
      </c>
      <c r="Y40" s="1" t="s">
        <v>48</v>
      </c>
      <c r="Z40" s="1" t="s">
        <v>48</v>
      </c>
      <c r="AA40" s="1" t="s">
        <v>48</v>
      </c>
      <c r="AB40" s="1" t="s">
        <v>48</v>
      </c>
      <c r="AC40" s="1" t="s">
        <v>48</v>
      </c>
      <c r="AD40" s="1" t="s">
        <v>48</v>
      </c>
      <c r="AE40" s="1">
        <v>328</v>
      </c>
      <c r="AF40" s="1" t="s">
        <v>8563</v>
      </c>
      <c r="AG40" s="1" t="str">
        <f>HYPERLINK("http://dx.doi.org/10.1007/s12665-021-09631-5","http://dx.doi.org/10.1007/s12665-021-09631-5")</f>
        <v>http://dx.doi.org/10.1007/s12665-021-09631-5</v>
      </c>
      <c r="AH40" s="1" t="s">
        <v>48</v>
      </c>
      <c r="AI40" s="1" t="s">
        <v>48</v>
      </c>
      <c r="AJ40" s="1">
        <v>16</v>
      </c>
      <c r="AK40" s="1" t="s">
        <v>1924</v>
      </c>
      <c r="AL40" s="1" t="s">
        <v>67</v>
      </c>
      <c r="AM40" s="1" t="s">
        <v>1926</v>
      </c>
      <c r="AN40" s="1" t="s">
        <v>48</v>
      </c>
      <c r="AO40" s="1" t="s">
        <v>48</v>
      </c>
      <c r="AP40" s="1" t="s">
        <v>48</v>
      </c>
      <c r="AQ40" s="1" t="s">
        <v>48</v>
      </c>
      <c r="AR40" s="1" t="s">
        <v>10610</v>
      </c>
    </row>
    <row r="41" spans="1:44" x14ac:dyDescent="0.45">
      <c r="A41" s="1" t="s">
        <v>8564</v>
      </c>
      <c r="B41" s="1" t="s">
        <v>8565</v>
      </c>
      <c r="C41" s="1" t="s">
        <v>8566</v>
      </c>
      <c r="D41" s="1" t="s">
        <v>52</v>
      </c>
      <c r="E41" s="1" t="s">
        <v>53</v>
      </c>
      <c r="F41" s="1" t="s">
        <v>8567</v>
      </c>
      <c r="G41" s="1" t="s">
        <v>58</v>
      </c>
      <c r="H41" s="1" t="s">
        <v>8441</v>
      </c>
      <c r="I41" s="1">
        <v>48</v>
      </c>
      <c r="J41" s="1">
        <v>29</v>
      </c>
      <c r="K41" s="1">
        <v>0</v>
      </c>
      <c r="L41" s="1">
        <v>5</v>
      </c>
      <c r="M41" s="1" t="s">
        <v>1523</v>
      </c>
      <c r="N41" s="1" t="s">
        <v>632</v>
      </c>
      <c r="O41" s="1" t="s">
        <v>1524</v>
      </c>
      <c r="P41" s="1" t="s">
        <v>8568</v>
      </c>
      <c r="Q41" s="1" t="s">
        <v>8569</v>
      </c>
      <c r="R41" s="1" t="s">
        <v>48</v>
      </c>
      <c r="S41" s="1" t="s">
        <v>8570</v>
      </c>
      <c r="T41" s="1" t="s">
        <v>8571</v>
      </c>
      <c r="U41" s="1" t="s">
        <v>320</v>
      </c>
      <c r="V41" s="1">
        <v>2021</v>
      </c>
      <c r="W41" s="1">
        <v>5</v>
      </c>
      <c r="X41" s="1">
        <v>1</v>
      </c>
      <c r="Y41" s="1" t="s">
        <v>48</v>
      </c>
      <c r="Z41" s="1" t="s">
        <v>48</v>
      </c>
      <c r="AA41" s="1" t="s">
        <v>48</v>
      </c>
      <c r="AB41" s="1" t="s">
        <v>48</v>
      </c>
      <c r="AC41" s="1">
        <v>93</v>
      </c>
      <c r="AD41" s="1">
        <v>111</v>
      </c>
      <c r="AE41" s="1" t="s">
        <v>48</v>
      </c>
      <c r="AF41" s="1" t="s">
        <v>8572</v>
      </c>
      <c r="AG41" s="1" t="str">
        <f>HYPERLINK("http://dx.doi.org/10.1007/s41810-020-00087-x","http://dx.doi.org/10.1007/s41810-020-00087-x")</f>
        <v>http://dx.doi.org/10.1007/s41810-020-00087-x</v>
      </c>
      <c r="AH41" s="1" t="s">
        <v>48</v>
      </c>
      <c r="AI41" s="1" t="s">
        <v>48</v>
      </c>
      <c r="AJ41" s="1">
        <v>19</v>
      </c>
      <c r="AK41" s="1" t="s">
        <v>438</v>
      </c>
      <c r="AL41" s="1" t="s">
        <v>124</v>
      </c>
      <c r="AM41" s="1" t="s">
        <v>439</v>
      </c>
      <c r="AN41" s="1" t="s">
        <v>48</v>
      </c>
      <c r="AO41" s="1" t="s">
        <v>48</v>
      </c>
      <c r="AP41" s="1" t="s">
        <v>48</v>
      </c>
      <c r="AQ41" s="1" t="s">
        <v>48</v>
      </c>
      <c r="AR41" s="1" t="s">
        <v>10610</v>
      </c>
    </row>
    <row r="42" spans="1:44" x14ac:dyDescent="0.45">
      <c r="A42" s="1" t="s">
        <v>8410</v>
      </c>
      <c r="B42" s="1" t="s">
        <v>8573</v>
      </c>
      <c r="C42" s="1" t="s">
        <v>250</v>
      </c>
      <c r="D42" s="1" t="s">
        <v>52</v>
      </c>
      <c r="E42" s="1" t="s">
        <v>53</v>
      </c>
      <c r="F42" s="1" t="s">
        <v>8412</v>
      </c>
      <c r="G42" s="1" t="s">
        <v>58</v>
      </c>
      <c r="H42" s="1" t="s">
        <v>3564</v>
      </c>
      <c r="I42" s="1">
        <v>62</v>
      </c>
      <c r="J42" s="1">
        <v>46</v>
      </c>
      <c r="K42" s="1">
        <v>2</v>
      </c>
      <c r="L42" s="1">
        <v>23</v>
      </c>
      <c r="M42" s="1" t="s">
        <v>252</v>
      </c>
      <c r="N42" s="1" t="s">
        <v>253</v>
      </c>
      <c r="O42" s="1" t="s">
        <v>254</v>
      </c>
      <c r="P42" s="1" t="s">
        <v>255</v>
      </c>
      <c r="Q42" s="1" t="s">
        <v>256</v>
      </c>
      <c r="R42" s="1" t="s">
        <v>48</v>
      </c>
      <c r="S42" s="1" t="s">
        <v>257</v>
      </c>
      <c r="T42" s="1" t="s">
        <v>258</v>
      </c>
      <c r="U42" s="1" t="s">
        <v>6727</v>
      </c>
      <c r="V42" s="1">
        <v>2021</v>
      </c>
      <c r="W42" s="1">
        <v>40</v>
      </c>
      <c r="X42" s="1">
        <v>1</v>
      </c>
      <c r="Y42" s="1" t="s">
        <v>48</v>
      </c>
      <c r="Z42" s="1" t="s">
        <v>48</v>
      </c>
      <c r="AA42" s="1" t="s">
        <v>48</v>
      </c>
      <c r="AB42" s="1" t="s">
        <v>48</v>
      </c>
      <c r="AC42" s="1" t="s">
        <v>48</v>
      </c>
      <c r="AD42" s="1" t="s">
        <v>48</v>
      </c>
      <c r="AE42" s="1">
        <v>9</v>
      </c>
      <c r="AF42" s="1" t="s">
        <v>8574</v>
      </c>
      <c r="AG42" s="1" t="str">
        <f>HYPERLINK("http://dx.doi.org/10.1007/s40314-020-01403-4","http://dx.doi.org/10.1007/s40314-020-01403-4")</f>
        <v>http://dx.doi.org/10.1007/s40314-020-01403-4</v>
      </c>
      <c r="AH42" s="1" t="s">
        <v>48</v>
      </c>
      <c r="AI42" s="1" t="s">
        <v>48</v>
      </c>
      <c r="AJ42" s="1">
        <v>15</v>
      </c>
      <c r="AK42" s="1" t="s">
        <v>260</v>
      </c>
      <c r="AL42" s="1" t="s">
        <v>67</v>
      </c>
      <c r="AM42" s="1" t="s">
        <v>137</v>
      </c>
      <c r="AN42" s="1" t="s">
        <v>48</v>
      </c>
      <c r="AO42" s="1" t="s">
        <v>48</v>
      </c>
      <c r="AP42" s="1" t="s">
        <v>48</v>
      </c>
      <c r="AQ42" s="1" t="s">
        <v>48</v>
      </c>
      <c r="AR42" s="1" t="s">
        <v>10610</v>
      </c>
    </row>
    <row r="43" spans="1:44" x14ac:dyDescent="0.45">
      <c r="A43" s="1" t="s">
        <v>8413</v>
      </c>
      <c r="B43" s="1" t="s">
        <v>8488</v>
      </c>
      <c r="C43" s="1" t="s">
        <v>6898</v>
      </c>
      <c r="D43" s="1" t="s">
        <v>52</v>
      </c>
      <c r="E43" s="1" t="s">
        <v>53</v>
      </c>
      <c r="F43" s="1" t="s">
        <v>8489</v>
      </c>
      <c r="G43" s="1" t="s">
        <v>58</v>
      </c>
      <c r="H43" s="1" t="s">
        <v>8490</v>
      </c>
      <c r="I43" s="1">
        <v>75</v>
      </c>
      <c r="J43" s="1">
        <v>22</v>
      </c>
      <c r="K43" s="1">
        <v>2</v>
      </c>
      <c r="L43" s="1">
        <v>28</v>
      </c>
      <c r="M43" s="1" t="s">
        <v>347</v>
      </c>
      <c r="N43" s="1" t="s">
        <v>348</v>
      </c>
      <c r="O43" s="1" t="s">
        <v>349</v>
      </c>
      <c r="P43" s="1" t="s">
        <v>6901</v>
      </c>
      <c r="Q43" s="1" t="s">
        <v>6902</v>
      </c>
      <c r="R43" s="1" t="s">
        <v>48</v>
      </c>
      <c r="S43" s="1" t="s">
        <v>6903</v>
      </c>
      <c r="T43" s="1" t="s">
        <v>6904</v>
      </c>
      <c r="U43" s="1" t="s">
        <v>386</v>
      </c>
      <c r="V43" s="1">
        <v>2022</v>
      </c>
      <c r="W43" s="1">
        <v>37</v>
      </c>
      <c r="X43" s="1">
        <v>1</v>
      </c>
      <c r="Y43" s="1" t="s">
        <v>48</v>
      </c>
      <c r="Z43" s="1" t="s">
        <v>48</v>
      </c>
      <c r="AA43" s="1" t="s">
        <v>48</v>
      </c>
      <c r="AB43" s="1" t="s">
        <v>48</v>
      </c>
      <c r="AC43" s="1">
        <v>478</v>
      </c>
      <c r="AD43" s="1">
        <v>515</v>
      </c>
      <c r="AE43" s="1" t="s">
        <v>48</v>
      </c>
      <c r="AF43" s="1" t="s">
        <v>8491</v>
      </c>
      <c r="AG43" s="1" t="str">
        <f>HYPERLINK("http://dx.doi.org/10.1002/int.22635","http://dx.doi.org/10.1002/int.22635")</f>
        <v>http://dx.doi.org/10.1002/int.22635</v>
      </c>
      <c r="AH43" s="1" t="s">
        <v>48</v>
      </c>
      <c r="AI43" s="1" t="s">
        <v>10620</v>
      </c>
      <c r="AJ43" s="1">
        <v>38</v>
      </c>
      <c r="AK43" s="1" t="s">
        <v>549</v>
      </c>
      <c r="AL43" s="1" t="s">
        <v>67</v>
      </c>
      <c r="AM43" s="1" t="s">
        <v>292</v>
      </c>
      <c r="AN43" s="1" t="s">
        <v>48</v>
      </c>
      <c r="AO43" s="1" t="s">
        <v>125</v>
      </c>
      <c r="AP43" s="1" t="s">
        <v>48</v>
      </c>
      <c r="AQ43" s="1" t="s">
        <v>48</v>
      </c>
      <c r="AR43" s="1" t="s">
        <v>10610</v>
      </c>
    </row>
    <row r="44" spans="1:44" x14ac:dyDescent="0.45">
      <c r="A44" s="1" t="s">
        <v>762</v>
      </c>
      <c r="B44" s="1" t="s">
        <v>8492</v>
      </c>
      <c r="C44" s="1" t="s">
        <v>6898</v>
      </c>
      <c r="D44" s="1" t="s">
        <v>52</v>
      </c>
      <c r="E44" s="1" t="s">
        <v>53</v>
      </c>
      <c r="F44" s="1" t="s">
        <v>8493</v>
      </c>
      <c r="G44" s="1" t="s">
        <v>58</v>
      </c>
      <c r="H44" s="1" t="s">
        <v>227</v>
      </c>
      <c r="I44" s="1">
        <v>60</v>
      </c>
      <c r="J44" s="1">
        <v>54</v>
      </c>
      <c r="K44" s="1">
        <v>1</v>
      </c>
      <c r="L44" s="1">
        <v>42</v>
      </c>
      <c r="M44" s="1" t="s">
        <v>5783</v>
      </c>
      <c r="N44" s="1" t="s">
        <v>632</v>
      </c>
      <c r="O44" s="1" t="s">
        <v>5784</v>
      </c>
      <c r="P44" s="1" t="s">
        <v>6901</v>
      </c>
      <c r="Q44" s="1" t="s">
        <v>6902</v>
      </c>
      <c r="R44" s="1" t="s">
        <v>48</v>
      </c>
      <c r="S44" s="1" t="s">
        <v>6903</v>
      </c>
      <c r="T44" s="1" t="s">
        <v>6904</v>
      </c>
      <c r="U44" s="1" t="s">
        <v>386</v>
      </c>
      <c r="V44" s="1">
        <v>2022</v>
      </c>
      <c r="W44" s="1">
        <v>37</v>
      </c>
      <c r="X44" s="1">
        <v>1</v>
      </c>
      <c r="Y44" s="1" t="s">
        <v>48</v>
      </c>
      <c r="Z44" s="1" t="s">
        <v>48</v>
      </c>
      <c r="AA44" s="1" t="s">
        <v>48</v>
      </c>
      <c r="AB44" s="1" t="s">
        <v>48</v>
      </c>
      <c r="AC44" s="1">
        <v>217</v>
      </c>
      <c r="AD44" s="1">
        <v>263</v>
      </c>
      <c r="AE44" s="1" t="s">
        <v>48</v>
      </c>
      <c r="AF44" s="1" t="s">
        <v>8494</v>
      </c>
      <c r="AG44" s="1" t="str">
        <f>HYPERLINK("http://dx.doi.org/10.1002/int.22623","http://dx.doi.org/10.1002/int.22623")</f>
        <v>http://dx.doi.org/10.1002/int.22623</v>
      </c>
      <c r="AH44" s="1" t="s">
        <v>48</v>
      </c>
      <c r="AI44" s="1" t="s">
        <v>10620</v>
      </c>
      <c r="AJ44" s="1">
        <v>47</v>
      </c>
      <c r="AK44" s="1" t="s">
        <v>549</v>
      </c>
      <c r="AL44" s="1" t="s">
        <v>67</v>
      </c>
      <c r="AM44" s="1" t="s">
        <v>292</v>
      </c>
      <c r="AN44" s="1" t="s">
        <v>48</v>
      </c>
      <c r="AO44" s="1" t="s">
        <v>125</v>
      </c>
      <c r="AP44" s="1" t="s">
        <v>48</v>
      </c>
      <c r="AQ44" s="1" t="s">
        <v>48</v>
      </c>
      <c r="AR44" s="1" t="s">
        <v>10610</v>
      </c>
    </row>
    <row r="45" spans="1:44" x14ac:dyDescent="0.45">
      <c r="A45" s="1" t="s">
        <v>8495</v>
      </c>
      <c r="B45" s="1" t="s">
        <v>8496</v>
      </c>
      <c r="C45" s="1" t="s">
        <v>1119</v>
      </c>
      <c r="D45" s="1" t="s">
        <v>52</v>
      </c>
      <c r="E45" s="1" t="s">
        <v>53</v>
      </c>
      <c r="F45" s="1" t="s">
        <v>8497</v>
      </c>
      <c r="G45" s="1" t="s">
        <v>58</v>
      </c>
      <c r="H45" s="1" t="s">
        <v>8498</v>
      </c>
      <c r="I45" s="1">
        <v>8</v>
      </c>
      <c r="J45" s="1">
        <v>0</v>
      </c>
      <c r="K45" s="1">
        <v>0</v>
      </c>
      <c r="L45" s="1">
        <v>0</v>
      </c>
      <c r="M45" s="1" t="s">
        <v>1119</v>
      </c>
      <c r="N45" s="1" t="s">
        <v>1122</v>
      </c>
      <c r="O45" s="1" t="s">
        <v>1123</v>
      </c>
      <c r="P45" s="1" t="s">
        <v>1124</v>
      </c>
      <c r="Q45" s="1" t="s">
        <v>48</v>
      </c>
      <c r="R45" s="1" t="s">
        <v>48</v>
      </c>
      <c r="S45" s="1" t="s">
        <v>1126</v>
      </c>
      <c r="T45" s="1" t="s">
        <v>1127</v>
      </c>
      <c r="U45" s="1" t="s">
        <v>436</v>
      </c>
      <c r="V45" s="1">
        <v>2021</v>
      </c>
      <c r="W45" s="1">
        <v>13</v>
      </c>
      <c r="X45" s="1">
        <v>2</v>
      </c>
      <c r="Y45" s="1" t="s">
        <v>48</v>
      </c>
      <c r="Z45" s="1" t="s">
        <v>48</v>
      </c>
      <c r="AA45" s="1" t="s">
        <v>48</v>
      </c>
      <c r="AB45" s="1" t="s">
        <v>48</v>
      </c>
      <c r="AC45" s="1">
        <v>49</v>
      </c>
      <c r="AD45" s="1">
        <v>54</v>
      </c>
      <c r="AE45" s="1" t="s">
        <v>48</v>
      </c>
      <c r="AF45" s="1" t="s">
        <v>48</v>
      </c>
      <c r="AG45" s="1" t="s">
        <v>48</v>
      </c>
      <c r="AH45" s="1" t="s">
        <v>48</v>
      </c>
      <c r="AI45" s="1" t="s">
        <v>48</v>
      </c>
      <c r="AJ45" s="1">
        <v>6</v>
      </c>
      <c r="AK45" s="1" t="s">
        <v>1128</v>
      </c>
      <c r="AL45" s="1" t="s">
        <v>124</v>
      </c>
      <c r="AM45" s="1" t="s">
        <v>1129</v>
      </c>
      <c r="AN45" s="1" t="s">
        <v>48</v>
      </c>
      <c r="AO45" s="1" t="s">
        <v>48</v>
      </c>
      <c r="AP45" s="1" t="s">
        <v>48</v>
      </c>
      <c r="AQ45" s="1" t="s">
        <v>48</v>
      </c>
      <c r="AR45" s="1" t="s">
        <v>10610</v>
      </c>
    </row>
    <row r="46" spans="1:44" x14ac:dyDescent="0.45">
      <c r="A46" s="1" t="s">
        <v>248</v>
      </c>
      <c r="B46" s="1" t="s">
        <v>8499</v>
      </c>
      <c r="C46" s="1" t="s">
        <v>8500</v>
      </c>
      <c r="D46" s="1" t="s">
        <v>52</v>
      </c>
      <c r="E46" s="1" t="s">
        <v>53</v>
      </c>
      <c r="F46" s="1" t="s">
        <v>251</v>
      </c>
      <c r="G46" s="1" t="s">
        <v>58</v>
      </c>
      <c r="H46" s="1" t="s">
        <v>227</v>
      </c>
      <c r="I46" s="1">
        <v>46</v>
      </c>
      <c r="J46" s="1">
        <v>12</v>
      </c>
      <c r="K46" s="1">
        <v>1</v>
      </c>
      <c r="L46" s="1">
        <v>8</v>
      </c>
      <c r="M46" s="1" t="s">
        <v>79</v>
      </c>
      <c r="N46" s="1" t="s">
        <v>80</v>
      </c>
      <c r="O46" s="1" t="s">
        <v>81</v>
      </c>
      <c r="P46" s="1" t="s">
        <v>8501</v>
      </c>
      <c r="Q46" s="1" t="s">
        <v>8502</v>
      </c>
      <c r="R46" s="1" t="s">
        <v>48</v>
      </c>
      <c r="S46" s="1" t="s">
        <v>8503</v>
      </c>
      <c r="T46" s="1" t="s">
        <v>8504</v>
      </c>
      <c r="U46" s="1" t="s">
        <v>436</v>
      </c>
      <c r="V46" s="1">
        <v>2021</v>
      </c>
      <c r="W46" s="1">
        <v>47</v>
      </c>
      <c r="X46" s="1" t="s">
        <v>48</v>
      </c>
      <c r="Y46" s="1" t="s">
        <v>48</v>
      </c>
      <c r="Z46" s="1" t="s">
        <v>48</v>
      </c>
      <c r="AA46" s="1" t="s">
        <v>48</v>
      </c>
      <c r="AB46" s="1" t="s">
        <v>48</v>
      </c>
      <c r="AC46" s="1" t="s">
        <v>48</v>
      </c>
      <c r="AD46" s="1" t="s">
        <v>48</v>
      </c>
      <c r="AE46" s="1">
        <v>100942</v>
      </c>
      <c r="AF46" s="1" t="s">
        <v>8505</v>
      </c>
      <c r="AG46" s="1" t="str">
        <f>HYPERLINK("http://dx.doi.org/10.1016/j.ecocom.2021.100942","http://dx.doi.org/10.1016/j.ecocom.2021.100942")</f>
        <v>http://dx.doi.org/10.1016/j.ecocom.2021.100942</v>
      </c>
      <c r="AH46" s="1" t="s">
        <v>48</v>
      </c>
      <c r="AI46" s="1" t="s">
        <v>10623</v>
      </c>
      <c r="AJ46" s="1">
        <v>18</v>
      </c>
      <c r="AK46" s="1" t="s">
        <v>5096</v>
      </c>
      <c r="AL46" s="1" t="s">
        <v>67</v>
      </c>
      <c r="AM46" s="1" t="s">
        <v>439</v>
      </c>
      <c r="AN46" s="1" t="s">
        <v>48</v>
      </c>
      <c r="AO46" s="1" t="s">
        <v>48</v>
      </c>
      <c r="AP46" s="1" t="s">
        <v>48</v>
      </c>
      <c r="AQ46" s="1" t="s">
        <v>48</v>
      </c>
      <c r="AR46" s="1" t="s">
        <v>10610</v>
      </c>
    </row>
    <row r="47" spans="1:44" x14ac:dyDescent="0.45">
      <c r="A47" s="1" t="s">
        <v>1967</v>
      </c>
      <c r="B47" s="1" t="s">
        <v>8506</v>
      </c>
      <c r="C47" s="1" t="s">
        <v>8507</v>
      </c>
      <c r="D47" s="1" t="s">
        <v>52</v>
      </c>
      <c r="E47" s="1" t="s">
        <v>53</v>
      </c>
      <c r="F47" s="1" t="s">
        <v>1972</v>
      </c>
      <c r="G47" s="1" t="s">
        <v>58</v>
      </c>
      <c r="H47" s="1" t="s">
        <v>1973</v>
      </c>
      <c r="I47" s="1">
        <v>43</v>
      </c>
      <c r="J47" s="1">
        <v>9</v>
      </c>
      <c r="K47" s="1">
        <v>0</v>
      </c>
      <c r="L47" s="1">
        <v>2</v>
      </c>
      <c r="M47" s="1" t="s">
        <v>79</v>
      </c>
      <c r="N47" s="1" t="s">
        <v>80</v>
      </c>
      <c r="O47" s="1" t="s">
        <v>81</v>
      </c>
      <c r="P47" s="1" t="s">
        <v>8508</v>
      </c>
      <c r="Q47" s="1" t="s">
        <v>48</v>
      </c>
      <c r="R47" s="1" t="s">
        <v>48</v>
      </c>
      <c r="S47" s="1" t="s">
        <v>8509</v>
      </c>
      <c r="T47" s="1" t="s">
        <v>8510</v>
      </c>
      <c r="U47" s="1" t="s">
        <v>243</v>
      </c>
      <c r="V47" s="1">
        <v>2021</v>
      </c>
      <c r="W47" s="1">
        <v>2</v>
      </c>
      <c r="X47" s="1" t="s">
        <v>48</v>
      </c>
      <c r="Y47" s="1" t="s">
        <v>48</v>
      </c>
      <c r="Z47" s="1" t="s">
        <v>48</v>
      </c>
      <c r="AA47" s="1" t="s">
        <v>48</v>
      </c>
      <c r="AB47" s="1" t="s">
        <v>48</v>
      </c>
      <c r="AC47" s="1" t="s">
        <v>48</v>
      </c>
      <c r="AD47" s="1" t="s">
        <v>48</v>
      </c>
      <c r="AE47" s="1">
        <v>100070</v>
      </c>
      <c r="AF47" s="1" t="s">
        <v>8511</v>
      </c>
      <c r="AG47" s="1" t="str">
        <f>HYPERLINK("http://dx.doi.org/10.1016/j.clet.2021.100070","http://dx.doi.org/10.1016/j.clet.2021.100070")</f>
        <v>http://dx.doi.org/10.1016/j.clet.2021.100070</v>
      </c>
      <c r="AH47" s="1" t="s">
        <v>48</v>
      </c>
      <c r="AI47" s="1" t="s">
        <v>48</v>
      </c>
      <c r="AJ47" s="1">
        <v>9</v>
      </c>
      <c r="AK47" s="1" t="s">
        <v>164</v>
      </c>
      <c r="AL47" s="1" t="s">
        <v>124</v>
      </c>
      <c r="AM47" s="1" t="s">
        <v>165</v>
      </c>
      <c r="AN47" s="1" t="s">
        <v>48</v>
      </c>
      <c r="AO47" s="1" t="s">
        <v>125</v>
      </c>
      <c r="AP47" s="1" t="s">
        <v>48</v>
      </c>
      <c r="AQ47" s="1" t="s">
        <v>48</v>
      </c>
      <c r="AR47" s="1" t="s">
        <v>10610</v>
      </c>
    </row>
    <row r="48" spans="1:44" x14ac:dyDescent="0.45">
      <c r="A48" s="1" t="s">
        <v>8512</v>
      </c>
      <c r="B48" s="1" t="s">
        <v>8513</v>
      </c>
      <c r="C48" s="1" t="s">
        <v>7491</v>
      </c>
      <c r="D48" s="1" t="s">
        <v>52</v>
      </c>
      <c r="E48" s="1" t="s">
        <v>53</v>
      </c>
      <c r="F48" s="1" t="s">
        <v>8514</v>
      </c>
      <c r="G48" s="1" t="s">
        <v>58</v>
      </c>
      <c r="H48" s="1" t="s">
        <v>8515</v>
      </c>
      <c r="I48" s="1">
        <v>81</v>
      </c>
      <c r="J48" s="1">
        <v>160</v>
      </c>
      <c r="K48" s="1">
        <v>58</v>
      </c>
      <c r="L48" s="1">
        <v>362</v>
      </c>
      <c r="M48" s="1" t="s">
        <v>79</v>
      </c>
      <c r="N48" s="1" t="s">
        <v>80</v>
      </c>
      <c r="O48" s="1" t="s">
        <v>81</v>
      </c>
      <c r="P48" s="1" t="s">
        <v>7495</v>
      </c>
      <c r="Q48" s="1" t="s">
        <v>7496</v>
      </c>
      <c r="R48" s="1" t="s">
        <v>48</v>
      </c>
      <c r="S48" s="1" t="s">
        <v>7497</v>
      </c>
      <c r="T48" s="1" t="s">
        <v>7498</v>
      </c>
      <c r="U48" s="1" t="s">
        <v>832</v>
      </c>
      <c r="V48" s="1">
        <v>2021</v>
      </c>
      <c r="W48" s="1">
        <v>68</v>
      </c>
      <c r="X48" s="1" t="s">
        <v>48</v>
      </c>
      <c r="Y48" s="1" t="s">
        <v>48</v>
      </c>
      <c r="Z48" s="1" t="s">
        <v>48</v>
      </c>
      <c r="AA48" s="1" t="s">
        <v>48</v>
      </c>
      <c r="AB48" s="1" t="s">
        <v>48</v>
      </c>
      <c r="AC48" s="1" t="s">
        <v>48</v>
      </c>
      <c r="AD48" s="1" t="s">
        <v>48</v>
      </c>
      <c r="AE48" s="1">
        <v>102773</v>
      </c>
      <c r="AF48" s="1" t="s">
        <v>8516</v>
      </c>
      <c r="AG48" s="1" t="str">
        <f>HYPERLINK("http://dx.doi.org/10.1016/j.scs.2021.102773","http://dx.doi.org/10.1016/j.scs.2021.102773")</f>
        <v>http://dx.doi.org/10.1016/j.scs.2021.102773</v>
      </c>
      <c r="AH48" s="1" t="s">
        <v>48</v>
      </c>
      <c r="AI48" s="1" t="s">
        <v>10617</v>
      </c>
      <c r="AJ48" s="1">
        <v>15</v>
      </c>
      <c r="AK48" s="1" t="s">
        <v>7500</v>
      </c>
      <c r="AL48" s="1" t="s">
        <v>944</v>
      </c>
      <c r="AM48" s="1" t="s">
        <v>7501</v>
      </c>
      <c r="AN48" s="1" t="s">
        <v>48</v>
      </c>
      <c r="AO48" s="1" t="s">
        <v>48</v>
      </c>
      <c r="AP48" s="1" t="s">
        <v>48</v>
      </c>
      <c r="AQ48" s="1" t="s">
        <v>48</v>
      </c>
      <c r="AR48" s="1" t="s">
        <v>10610</v>
      </c>
    </row>
    <row r="49" spans="1:44" x14ac:dyDescent="0.45">
      <c r="A49" s="1" t="s">
        <v>946</v>
      </c>
      <c r="B49" s="1" t="s">
        <v>8517</v>
      </c>
      <c r="C49" s="1" t="s">
        <v>3381</v>
      </c>
      <c r="D49" s="1" t="s">
        <v>52</v>
      </c>
      <c r="E49" s="1" t="s">
        <v>53</v>
      </c>
      <c r="F49" s="1" t="s">
        <v>8518</v>
      </c>
      <c r="G49" s="1" t="s">
        <v>58</v>
      </c>
      <c r="H49" s="1" t="s">
        <v>8519</v>
      </c>
      <c r="I49" s="1">
        <v>64</v>
      </c>
      <c r="J49" s="1">
        <v>1</v>
      </c>
      <c r="K49" s="1">
        <v>1</v>
      </c>
      <c r="L49" s="1">
        <v>5</v>
      </c>
      <c r="M49" s="1" t="s">
        <v>958</v>
      </c>
      <c r="N49" s="1" t="s">
        <v>632</v>
      </c>
      <c r="O49" s="1" t="s">
        <v>959</v>
      </c>
      <c r="P49" s="1" t="s">
        <v>3387</v>
      </c>
      <c r="Q49" s="1" t="s">
        <v>3388</v>
      </c>
      <c r="R49" s="1" t="s">
        <v>48</v>
      </c>
      <c r="S49" s="1" t="s">
        <v>3389</v>
      </c>
      <c r="T49" s="1" t="s">
        <v>3390</v>
      </c>
      <c r="U49" s="1" t="s">
        <v>436</v>
      </c>
      <c r="V49" s="1">
        <v>2022</v>
      </c>
      <c r="W49" s="1">
        <v>7</v>
      </c>
      <c r="X49" s="1">
        <v>3</v>
      </c>
      <c r="Y49" s="1" t="s">
        <v>48</v>
      </c>
      <c r="Z49" s="1" t="s">
        <v>48</v>
      </c>
      <c r="AA49" s="1" t="s">
        <v>48</v>
      </c>
      <c r="AB49" s="1" t="s">
        <v>48</v>
      </c>
      <c r="AC49" s="1">
        <v>609</v>
      </c>
      <c r="AD49" s="1">
        <v>624</v>
      </c>
      <c r="AE49" s="1">
        <v>2057891121995570</v>
      </c>
      <c r="AF49" s="1" t="s">
        <v>8520</v>
      </c>
      <c r="AG49" s="1" t="str">
        <f>HYPERLINK("http://dx.doi.org/10.1177/2057891121995570","http://dx.doi.org/10.1177/2057891121995570")</f>
        <v>http://dx.doi.org/10.1177/2057891121995570</v>
      </c>
      <c r="AH49" s="1" t="s">
        <v>48</v>
      </c>
      <c r="AI49" s="1" t="s">
        <v>10617</v>
      </c>
      <c r="AJ49" s="1">
        <v>16</v>
      </c>
      <c r="AK49" s="1" t="s">
        <v>732</v>
      </c>
      <c r="AL49" s="1" t="s">
        <v>124</v>
      </c>
      <c r="AM49" s="1" t="s">
        <v>733</v>
      </c>
      <c r="AN49" s="1" t="s">
        <v>48</v>
      </c>
      <c r="AO49" s="1" t="s">
        <v>48</v>
      </c>
      <c r="AP49" s="1" t="s">
        <v>48</v>
      </c>
      <c r="AQ49" s="1" t="s">
        <v>48</v>
      </c>
      <c r="AR49" s="1" t="s">
        <v>10610</v>
      </c>
    </row>
    <row r="50" spans="1:44" x14ac:dyDescent="0.45">
      <c r="A50" s="1" t="s">
        <v>8626</v>
      </c>
      <c r="B50" s="1" t="s">
        <v>8627</v>
      </c>
      <c r="C50" s="1" t="s">
        <v>5136</v>
      </c>
      <c r="D50" s="1" t="s">
        <v>52</v>
      </c>
      <c r="E50" s="1" t="s">
        <v>53</v>
      </c>
      <c r="F50" s="1" t="s">
        <v>8628</v>
      </c>
      <c r="G50" s="1" t="s">
        <v>58</v>
      </c>
      <c r="H50" s="1" t="s">
        <v>8629</v>
      </c>
      <c r="I50" s="1">
        <v>54</v>
      </c>
      <c r="J50" s="1">
        <v>7</v>
      </c>
      <c r="K50" s="1">
        <v>0</v>
      </c>
      <c r="L50" s="1">
        <v>13</v>
      </c>
      <c r="M50" s="1" t="s">
        <v>503</v>
      </c>
      <c r="N50" s="1" t="s">
        <v>504</v>
      </c>
      <c r="O50" s="1" t="s">
        <v>505</v>
      </c>
      <c r="P50" s="1" t="s">
        <v>5140</v>
      </c>
      <c r="Q50" s="1" t="s">
        <v>5141</v>
      </c>
      <c r="R50" s="1" t="s">
        <v>48</v>
      </c>
      <c r="S50" s="1" t="s">
        <v>5142</v>
      </c>
      <c r="T50" s="1" t="s">
        <v>5143</v>
      </c>
      <c r="U50" s="1" t="s">
        <v>352</v>
      </c>
      <c r="V50" s="1">
        <v>2022</v>
      </c>
      <c r="W50" s="1">
        <v>38</v>
      </c>
      <c r="X50" s="1">
        <v>11</v>
      </c>
      <c r="Y50" s="1" t="s">
        <v>48</v>
      </c>
      <c r="Z50" s="1" t="s">
        <v>48</v>
      </c>
      <c r="AA50" s="1" t="s">
        <v>48</v>
      </c>
      <c r="AB50" s="1" t="s">
        <v>48</v>
      </c>
      <c r="AC50" s="1">
        <v>3867</v>
      </c>
      <c r="AD50" s="1">
        <v>3880</v>
      </c>
      <c r="AE50" s="1" t="s">
        <v>48</v>
      </c>
      <c r="AF50" s="1" t="s">
        <v>8630</v>
      </c>
      <c r="AG50" s="1" t="str">
        <f>HYPERLINK("http://dx.doi.org/10.1007/s00371-021-02226-y","http://dx.doi.org/10.1007/s00371-021-02226-y")</f>
        <v>http://dx.doi.org/10.1007/s00371-021-02226-y</v>
      </c>
      <c r="AH50" s="1" t="s">
        <v>48</v>
      </c>
      <c r="AI50" s="1" t="s">
        <v>10623</v>
      </c>
      <c r="AJ50" s="1">
        <v>14</v>
      </c>
      <c r="AK50" s="1" t="s">
        <v>5145</v>
      </c>
      <c r="AL50" s="1" t="s">
        <v>67</v>
      </c>
      <c r="AM50" s="1" t="s">
        <v>292</v>
      </c>
      <c r="AN50" s="1" t="s">
        <v>48</v>
      </c>
      <c r="AO50" s="1" t="s">
        <v>48</v>
      </c>
      <c r="AP50" s="1" t="s">
        <v>48</v>
      </c>
      <c r="AQ50" s="1" t="s">
        <v>48</v>
      </c>
      <c r="AR50" s="1" t="s">
        <v>10610</v>
      </c>
    </row>
    <row r="51" spans="1:44" x14ac:dyDescent="0.45">
      <c r="A51" s="1" t="s">
        <v>1722</v>
      </c>
      <c r="B51" s="1" t="s">
        <v>8631</v>
      </c>
      <c r="C51" s="1" t="s">
        <v>8632</v>
      </c>
      <c r="D51" s="1" t="s">
        <v>52</v>
      </c>
      <c r="E51" s="1" t="s">
        <v>53</v>
      </c>
      <c r="F51" s="1" t="s">
        <v>8633</v>
      </c>
      <c r="G51" s="1" t="s">
        <v>58</v>
      </c>
      <c r="H51" s="1" t="s">
        <v>8634</v>
      </c>
      <c r="I51" s="1">
        <v>50</v>
      </c>
      <c r="J51" s="1">
        <v>11</v>
      </c>
      <c r="K51" s="1">
        <v>1</v>
      </c>
      <c r="L51" s="1">
        <v>3</v>
      </c>
      <c r="M51" s="1" t="s">
        <v>198</v>
      </c>
      <c r="N51" s="1" t="s">
        <v>146</v>
      </c>
      <c r="O51" s="1" t="s">
        <v>199</v>
      </c>
      <c r="P51" s="1" t="s">
        <v>8635</v>
      </c>
      <c r="Q51" s="1" t="s">
        <v>8636</v>
      </c>
      <c r="R51" s="1" t="s">
        <v>48</v>
      </c>
      <c r="S51" s="1" t="s">
        <v>8637</v>
      </c>
      <c r="T51" s="1" t="s">
        <v>8638</v>
      </c>
      <c r="U51" s="1" t="s">
        <v>10624</v>
      </c>
      <c r="V51" s="1">
        <v>2021</v>
      </c>
      <c r="W51" s="1">
        <v>38</v>
      </c>
      <c r="X51" s="1">
        <v>6</v>
      </c>
      <c r="Y51" s="1" t="s">
        <v>48</v>
      </c>
      <c r="Z51" s="1" t="s">
        <v>48</v>
      </c>
      <c r="AA51" s="1" t="s">
        <v>48</v>
      </c>
      <c r="AB51" s="1" t="s">
        <v>48</v>
      </c>
      <c r="AC51" s="1">
        <v>414</v>
      </c>
      <c r="AD51" s="1">
        <v>430</v>
      </c>
      <c r="AE51" s="1" t="s">
        <v>48</v>
      </c>
      <c r="AF51" s="1" t="s">
        <v>8639</v>
      </c>
      <c r="AG51" s="1" t="str">
        <f>HYPERLINK("http://dx.doi.org/10.1080/21681015.2021.1925757","http://dx.doi.org/10.1080/21681015.2021.1925757")</f>
        <v>http://dx.doi.org/10.1080/21681015.2021.1925757</v>
      </c>
      <c r="AH51" s="1" t="s">
        <v>48</v>
      </c>
      <c r="AI51" s="1" t="s">
        <v>10611</v>
      </c>
      <c r="AJ51" s="1">
        <v>17</v>
      </c>
      <c r="AK51" s="1" t="s">
        <v>8640</v>
      </c>
      <c r="AL51" s="1" t="s">
        <v>124</v>
      </c>
      <c r="AM51" s="1" t="s">
        <v>1733</v>
      </c>
      <c r="AN51" s="1" t="s">
        <v>48</v>
      </c>
      <c r="AO51" s="1" t="s">
        <v>48</v>
      </c>
      <c r="AP51" s="1" t="s">
        <v>48</v>
      </c>
      <c r="AQ51" s="1" t="s">
        <v>48</v>
      </c>
      <c r="AR51" s="1" t="s">
        <v>10610</v>
      </c>
    </row>
    <row r="52" spans="1:44" x14ac:dyDescent="0.45">
      <c r="A52" s="1" t="s">
        <v>8641</v>
      </c>
      <c r="B52" s="1" t="s">
        <v>8642</v>
      </c>
      <c r="C52" s="1" t="s">
        <v>2194</v>
      </c>
      <c r="D52" s="1" t="s">
        <v>52</v>
      </c>
      <c r="E52" s="1" t="s">
        <v>53</v>
      </c>
      <c r="F52" s="1" t="s">
        <v>8643</v>
      </c>
      <c r="G52" s="1" t="s">
        <v>58</v>
      </c>
      <c r="H52" s="1" t="s">
        <v>8644</v>
      </c>
      <c r="I52" s="1">
        <v>82</v>
      </c>
      <c r="J52" s="1">
        <v>3</v>
      </c>
      <c r="K52" s="1">
        <v>0</v>
      </c>
      <c r="L52" s="1">
        <v>7</v>
      </c>
      <c r="M52" s="1" t="s">
        <v>503</v>
      </c>
      <c r="N52" s="1" t="s">
        <v>542</v>
      </c>
      <c r="O52" s="1" t="s">
        <v>543</v>
      </c>
      <c r="P52" s="1" t="s">
        <v>2195</v>
      </c>
      <c r="Q52" s="1" t="s">
        <v>2196</v>
      </c>
      <c r="R52" s="1" t="s">
        <v>48</v>
      </c>
      <c r="S52" s="1" t="s">
        <v>2194</v>
      </c>
      <c r="T52" s="1" t="s">
        <v>2197</v>
      </c>
      <c r="U52" s="1" t="s">
        <v>243</v>
      </c>
      <c r="V52" s="1">
        <v>2021</v>
      </c>
      <c r="W52" s="1">
        <v>86</v>
      </c>
      <c r="X52" s="1">
        <v>3</v>
      </c>
      <c r="Y52" s="1" t="s">
        <v>48</v>
      </c>
      <c r="Z52" s="1" t="s">
        <v>48</v>
      </c>
      <c r="AA52" s="1" t="s">
        <v>48</v>
      </c>
      <c r="AB52" s="1" t="s">
        <v>48</v>
      </c>
      <c r="AC52" s="1">
        <v>1043</v>
      </c>
      <c r="AD52" s="1">
        <v>1072</v>
      </c>
      <c r="AE52" s="1" t="s">
        <v>48</v>
      </c>
      <c r="AF52" s="1" t="s">
        <v>8645</v>
      </c>
      <c r="AG52" s="1" t="str">
        <f>HYPERLINK("http://dx.doi.org/10.1007/s10708-019-10106-1","http://dx.doi.org/10.1007/s10708-019-10106-1")</f>
        <v>http://dx.doi.org/10.1007/s10708-019-10106-1</v>
      </c>
      <c r="AH52" s="1" t="s">
        <v>48</v>
      </c>
      <c r="AI52" s="1" t="s">
        <v>48</v>
      </c>
      <c r="AJ52" s="1">
        <v>30</v>
      </c>
      <c r="AK52" s="1" t="s">
        <v>493</v>
      </c>
      <c r="AL52" s="1" t="s">
        <v>124</v>
      </c>
      <c r="AM52" s="1" t="s">
        <v>493</v>
      </c>
      <c r="AN52" s="1" t="s">
        <v>48</v>
      </c>
      <c r="AO52" s="1" t="s">
        <v>48</v>
      </c>
      <c r="AP52" s="1" t="s">
        <v>48</v>
      </c>
      <c r="AQ52" s="1" t="s">
        <v>48</v>
      </c>
      <c r="AR52" s="1" t="s">
        <v>10610</v>
      </c>
    </row>
    <row r="53" spans="1:44" x14ac:dyDescent="0.45">
      <c r="A53" s="1" t="s">
        <v>8454</v>
      </c>
      <c r="B53" s="1" t="s">
        <v>8646</v>
      </c>
      <c r="C53" s="1" t="s">
        <v>8647</v>
      </c>
      <c r="D53" s="1" t="s">
        <v>52</v>
      </c>
      <c r="E53" s="1" t="s">
        <v>53</v>
      </c>
      <c r="F53" s="1" t="s">
        <v>8456</v>
      </c>
      <c r="G53" s="1" t="s">
        <v>58</v>
      </c>
      <c r="H53" s="1" t="s">
        <v>6277</v>
      </c>
      <c r="I53" s="1">
        <v>44</v>
      </c>
      <c r="J53" s="1">
        <v>39</v>
      </c>
      <c r="K53" s="1">
        <v>4</v>
      </c>
      <c r="L53" s="1">
        <v>44</v>
      </c>
      <c r="M53" s="1" t="s">
        <v>79</v>
      </c>
      <c r="N53" s="1" t="s">
        <v>80</v>
      </c>
      <c r="O53" s="1" t="s">
        <v>81</v>
      </c>
      <c r="P53" s="1" t="s">
        <v>8648</v>
      </c>
      <c r="Q53" s="1" t="s">
        <v>8649</v>
      </c>
      <c r="R53" s="1" t="s">
        <v>48</v>
      </c>
      <c r="S53" s="1" t="s">
        <v>8650</v>
      </c>
      <c r="T53" s="1" t="s">
        <v>8651</v>
      </c>
      <c r="U53" s="1" t="s">
        <v>103</v>
      </c>
      <c r="V53" s="1">
        <v>2021</v>
      </c>
      <c r="W53" s="1">
        <v>63</v>
      </c>
      <c r="X53" s="1" t="s">
        <v>48</v>
      </c>
      <c r="Y53" s="1" t="s">
        <v>48</v>
      </c>
      <c r="Z53" s="1" t="s">
        <v>48</v>
      </c>
      <c r="AA53" s="1" t="s">
        <v>48</v>
      </c>
      <c r="AB53" s="1" t="s">
        <v>48</v>
      </c>
      <c r="AC53" s="1" t="s">
        <v>48</v>
      </c>
      <c r="AD53" s="1" t="s">
        <v>48</v>
      </c>
      <c r="AE53" s="1">
        <v>101318</v>
      </c>
      <c r="AF53" s="1" t="s">
        <v>8652</v>
      </c>
      <c r="AG53" s="1" t="str">
        <f>HYPERLINK("http://dx.doi.org/10.1016/j.ecoinf.2021.101318","http://dx.doi.org/10.1016/j.ecoinf.2021.101318")</f>
        <v>http://dx.doi.org/10.1016/j.ecoinf.2021.101318</v>
      </c>
      <c r="AH53" s="1" t="s">
        <v>48</v>
      </c>
      <c r="AI53" s="1" t="s">
        <v>10613</v>
      </c>
      <c r="AJ53" s="1">
        <v>12</v>
      </c>
      <c r="AK53" s="1" t="s">
        <v>5096</v>
      </c>
      <c r="AL53" s="1" t="s">
        <v>67</v>
      </c>
      <c r="AM53" s="1" t="s">
        <v>439</v>
      </c>
      <c r="AN53" s="1" t="s">
        <v>48</v>
      </c>
      <c r="AO53" s="1" t="s">
        <v>48</v>
      </c>
      <c r="AP53" s="1" t="s">
        <v>48</v>
      </c>
      <c r="AQ53" s="1" t="s">
        <v>48</v>
      </c>
      <c r="AR53" s="1" t="s">
        <v>10610</v>
      </c>
    </row>
    <row r="54" spans="1:44" x14ac:dyDescent="0.45">
      <c r="A54" s="1" t="s">
        <v>8834</v>
      </c>
      <c r="B54" s="1" t="s">
        <v>8835</v>
      </c>
      <c r="C54" s="1" t="s">
        <v>5527</v>
      </c>
      <c r="D54" s="1" t="s">
        <v>52</v>
      </c>
      <c r="E54" s="1" t="s">
        <v>53</v>
      </c>
      <c r="F54" s="1" t="s">
        <v>8836</v>
      </c>
      <c r="G54" s="1" t="s">
        <v>58</v>
      </c>
      <c r="H54" s="1" t="s">
        <v>1045</v>
      </c>
      <c r="I54" s="1">
        <v>30</v>
      </c>
      <c r="J54" s="1">
        <v>10</v>
      </c>
      <c r="K54" s="1">
        <v>0</v>
      </c>
      <c r="L54" s="1">
        <v>3</v>
      </c>
      <c r="M54" s="1" t="s">
        <v>252</v>
      </c>
      <c r="N54" s="1" t="s">
        <v>253</v>
      </c>
      <c r="O54" s="1" t="s">
        <v>254</v>
      </c>
      <c r="P54" s="1" t="s">
        <v>5531</v>
      </c>
      <c r="Q54" s="1" t="s">
        <v>5532</v>
      </c>
      <c r="R54" s="1" t="s">
        <v>48</v>
      </c>
      <c r="S54" s="1" t="s">
        <v>5533</v>
      </c>
      <c r="T54" s="1" t="s">
        <v>5534</v>
      </c>
      <c r="U54" s="1" t="s">
        <v>436</v>
      </c>
      <c r="V54" s="1">
        <v>2021</v>
      </c>
      <c r="W54" s="1">
        <v>32</v>
      </c>
      <c r="X54" s="1" t="s">
        <v>1514</v>
      </c>
      <c r="Y54" s="1" t="s">
        <v>48</v>
      </c>
      <c r="Z54" s="1" t="s">
        <v>48</v>
      </c>
      <c r="AA54" s="1" t="s">
        <v>48</v>
      </c>
      <c r="AB54" s="1" t="s">
        <v>48</v>
      </c>
      <c r="AC54" s="1">
        <v>1043</v>
      </c>
      <c r="AD54" s="1">
        <v>1057</v>
      </c>
      <c r="AE54" s="1" t="s">
        <v>48</v>
      </c>
      <c r="AF54" s="1" t="s">
        <v>8837</v>
      </c>
      <c r="AG54" s="1" t="str">
        <f>HYPERLINK("http://dx.doi.org/10.1007/s13370-021-00880-y","http://dx.doi.org/10.1007/s13370-021-00880-y")</f>
        <v>http://dx.doi.org/10.1007/s13370-021-00880-y</v>
      </c>
      <c r="AH54" s="1" t="s">
        <v>48</v>
      </c>
      <c r="AI54" s="1" t="s">
        <v>10617</v>
      </c>
      <c r="AJ54" s="1">
        <v>15</v>
      </c>
      <c r="AK54" s="1" t="s">
        <v>137</v>
      </c>
      <c r="AL54" s="1" t="s">
        <v>124</v>
      </c>
      <c r="AM54" s="1" t="s">
        <v>137</v>
      </c>
      <c r="AN54" s="1" t="s">
        <v>48</v>
      </c>
      <c r="AO54" s="1" t="s">
        <v>48</v>
      </c>
      <c r="AP54" s="1" t="s">
        <v>48</v>
      </c>
      <c r="AQ54" s="1" t="s">
        <v>48</v>
      </c>
      <c r="AR54" s="1" t="s">
        <v>10610</v>
      </c>
    </row>
    <row r="55" spans="1:44" x14ac:dyDescent="0.45">
      <c r="A55" s="1" t="s">
        <v>1012</v>
      </c>
      <c r="B55" s="1" t="s">
        <v>8838</v>
      </c>
      <c r="C55" s="1" t="s">
        <v>1165</v>
      </c>
      <c r="D55" s="1" t="s">
        <v>52</v>
      </c>
      <c r="E55" s="1" t="s">
        <v>53</v>
      </c>
      <c r="F55" s="1" t="s">
        <v>2100</v>
      </c>
      <c r="G55" s="1" t="s">
        <v>58</v>
      </c>
      <c r="H55" s="1" t="s">
        <v>1045</v>
      </c>
      <c r="I55" s="1">
        <v>40</v>
      </c>
      <c r="J55" s="1">
        <v>66</v>
      </c>
      <c r="K55" s="1">
        <v>0</v>
      </c>
      <c r="L55" s="1">
        <v>8</v>
      </c>
      <c r="M55" s="1" t="s">
        <v>1168</v>
      </c>
      <c r="N55" s="1" t="s">
        <v>504</v>
      </c>
      <c r="O55" s="1" t="s">
        <v>1169</v>
      </c>
      <c r="P55" s="1" t="s">
        <v>1170</v>
      </c>
      <c r="Q55" s="1" t="s">
        <v>1171</v>
      </c>
      <c r="R55" s="1" t="s">
        <v>48</v>
      </c>
      <c r="S55" s="1" t="s">
        <v>1172</v>
      </c>
      <c r="T55" s="1" t="s">
        <v>1173</v>
      </c>
      <c r="U55" s="1" t="s">
        <v>10625</v>
      </c>
      <c r="V55" s="1">
        <v>2021</v>
      </c>
      <c r="W55" s="1">
        <v>545</v>
      </c>
      <c r="X55" s="1" t="s">
        <v>48</v>
      </c>
      <c r="Y55" s="1" t="s">
        <v>48</v>
      </c>
      <c r="Z55" s="1" t="s">
        <v>48</v>
      </c>
      <c r="AA55" s="1" t="s">
        <v>48</v>
      </c>
      <c r="AB55" s="1" t="s">
        <v>48</v>
      </c>
      <c r="AC55" s="1">
        <v>608</v>
      </c>
      <c r="AD55" s="1">
        <v>619</v>
      </c>
      <c r="AE55" s="1" t="s">
        <v>48</v>
      </c>
      <c r="AF55" s="1" t="s">
        <v>8839</v>
      </c>
      <c r="AG55" s="1" t="str">
        <f>HYPERLINK("http://dx.doi.org/10.1016/j.ins.2020.09.050","http://dx.doi.org/10.1016/j.ins.2020.09.050")</f>
        <v>http://dx.doi.org/10.1016/j.ins.2020.09.050</v>
      </c>
      <c r="AH55" s="1" t="s">
        <v>48</v>
      </c>
      <c r="AI55" s="1" t="s">
        <v>48</v>
      </c>
      <c r="AJ55" s="1">
        <v>12</v>
      </c>
      <c r="AK55" s="1" t="s">
        <v>291</v>
      </c>
      <c r="AL55" s="1" t="s">
        <v>67</v>
      </c>
      <c r="AM55" s="1" t="s">
        <v>292</v>
      </c>
      <c r="AN55" s="1" t="s">
        <v>48</v>
      </c>
      <c r="AO55" s="1" t="s">
        <v>48</v>
      </c>
      <c r="AP55" s="1" t="s">
        <v>48</v>
      </c>
      <c r="AQ55" s="1" t="s">
        <v>48</v>
      </c>
      <c r="AR55" s="1" t="s">
        <v>10610</v>
      </c>
    </row>
    <row r="56" spans="1:44" x14ac:dyDescent="0.45">
      <c r="A56" s="1" t="s">
        <v>8840</v>
      </c>
      <c r="B56" s="1" t="s">
        <v>8841</v>
      </c>
      <c r="C56" s="1" t="s">
        <v>2737</v>
      </c>
      <c r="D56" s="1" t="s">
        <v>52</v>
      </c>
      <c r="E56" s="1" t="s">
        <v>53</v>
      </c>
      <c r="F56" s="1" t="s">
        <v>8842</v>
      </c>
      <c r="G56" s="1" t="s">
        <v>58</v>
      </c>
      <c r="H56" s="1" t="s">
        <v>131</v>
      </c>
      <c r="I56" s="1">
        <v>36</v>
      </c>
      <c r="J56" s="1">
        <v>32</v>
      </c>
      <c r="K56" s="1">
        <v>0</v>
      </c>
      <c r="L56" s="1">
        <v>5</v>
      </c>
      <c r="M56" s="1" t="s">
        <v>2741</v>
      </c>
      <c r="N56" s="1" t="s">
        <v>80</v>
      </c>
      <c r="O56" s="1" t="s">
        <v>2742</v>
      </c>
      <c r="P56" s="1" t="s">
        <v>2743</v>
      </c>
      <c r="Q56" s="1" t="s">
        <v>2744</v>
      </c>
      <c r="R56" s="1" t="s">
        <v>48</v>
      </c>
      <c r="S56" s="1" t="s">
        <v>2745</v>
      </c>
      <c r="T56" s="1" t="s">
        <v>2746</v>
      </c>
      <c r="U56" s="1" t="s">
        <v>48</v>
      </c>
      <c r="V56" s="1">
        <v>2021</v>
      </c>
      <c r="W56" s="1">
        <v>41</v>
      </c>
      <c r="X56" s="1">
        <v>1</v>
      </c>
      <c r="Y56" s="1" t="s">
        <v>48</v>
      </c>
      <c r="Z56" s="1" t="s">
        <v>48</v>
      </c>
      <c r="AA56" s="1" t="s">
        <v>48</v>
      </c>
      <c r="AB56" s="1" t="s">
        <v>48</v>
      </c>
      <c r="AC56" s="1">
        <v>2073</v>
      </c>
      <c r="AD56" s="1">
        <v>2083</v>
      </c>
      <c r="AE56" s="1" t="s">
        <v>48</v>
      </c>
      <c r="AF56" s="1" t="s">
        <v>8843</v>
      </c>
      <c r="AG56" s="1" t="str">
        <f>HYPERLINK("http://dx.doi.org/10.3233/JIFS-210736","http://dx.doi.org/10.3233/JIFS-210736")</f>
        <v>http://dx.doi.org/10.3233/JIFS-210736</v>
      </c>
      <c r="AH56" s="1" t="s">
        <v>48</v>
      </c>
      <c r="AI56" s="1" t="s">
        <v>48</v>
      </c>
      <c r="AJ56" s="1">
        <v>11</v>
      </c>
      <c r="AK56" s="1" t="s">
        <v>549</v>
      </c>
      <c r="AL56" s="1" t="s">
        <v>67</v>
      </c>
      <c r="AM56" s="1" t="s">
        <v>292</v>
      </c>
      <c r="AN56" s="1" t="s">
        <v>48</v>
      </c>
      <c r="AO56" s="1" t="s">
        <v>48</v>
      </c>
      <c r="AP56" s="1" t="s">
        <v>48</v>
      </c>
      <c r="AQ56" s="1" t="s">
        <v>48</v>
      </c>
      <c r="AR56" s="1" t="s">
        <v>10610</v>
      </c>
    </row>
    <row r="57" spans="1:44" x14ac:dyDescent="0.45">
      <c r="A57" s="1" t="s">
        <v>8695</v>
      </c>
      <c r="B57" s="1" t="s">
        <v>8696</v>
      </c>
      <c r="C57" s="1" t="s">
        <v>1443</v>
      </c>
      <c r="D57" s="1" t="s">
        <v>52</v>
      </c>
      <c r="E57" s="1" t="s">
        <v>1114</v>
      </c>
      <c r="F57" s="1" t="s">
        <v>8697</v>
      </c>
      <c r="G57" s="1" t="s">
        <v>115</v>
      </c>
      <c r="H57" s="1" t="s">
        <v>8698</v>
      </c>
      <c r="I57" s="1">
        <v>29</v>
      </c>
      <c r="J57" s="1">
        <v>2</v>
      </c>
      <c r="K57" s="1">
        <v>1</v>
      </c>
      <c r="L57" s="1">
        <v>3</v>
      </c>
      <c r="M57" s="1" t="s">
        <v>79</v>
      </c>
      <c r="N57" s="1" t="s">
        <v>80</v>
      </c>
      <c r="O57" s="1" t="s">
        <v>81</v>
      </c>
      <c r="P57" s="1" t="s">
        <v>1446</v>
      </c>
      <c r="Q57" s="1" t="s">
        <v>48</v>
      </c>
      <c r="R57" s="1" t="s">
        <v>48</v>
      </c>
      <c r="S57" s="1" t="s">
        <v>1447</v>
      </c>
      <c r="T57" s="1" t="s">
        <v>1448</v>
      </c>
      <c r="U57" s="1" t="s">
        <v>832</v>
      </c>
      <c r="V57" s="1">
        <v>2021</v>
      </c>
      <c r="W57" s="1">
        <v>44</v>
      </c>
      <c r="X57" s="1" t="s">
        <v>48</v>
      </c>
      <c r="Y57" s="1" t="s">
        <v>48</v>
      </c>
      <c r="Z57" s="1" t="s">
        <v>48</v>
      </c>
      <c r="AA57" s="1" t="s">
        <v>48</v>
      </c>
      <c r="AB57" s="1" t="s">
        <v>48</v>
      </c>
      <c r="AC57" s="1" t="s">
        <v>48</v>
      </c>
      <c r="AD57" s="1" t="s">
        <v>48</v>
      </c>
      <c r="AE57" s="1">
        <v>101726</v>
      </c>
      <c r="AF57" s="1" t="s">
        <v>8699</v>
      </c>
      <c r="AG57" s="1" t="str">
        <f>HYPERLINK("http://dx.doi.org/10.1016/j.rsma.2021.101726","http://dx.doi.org/10.1016/j.rsma.2021.101726")</f>
        <v>http://dx.doi.org/10.1016/j.rsma.2021.101726</v>
      </c>
      <c r="AH57" s="1" t="s">
        <v>48</v>
      </c>
      <c r="AI57" s="1" t="s">
        <v>10618</v>
      </c>
      <c r="AJ57" s="1">
        <v>10</v>
      </c>
      <c r="AK57" s="1" t="s">
        <v>1450</v>
      </c>
      <c r="AL57" s="1" t="s">
        <v>67</v>
      </c>
      <c r="AM57" s="1" t="s">
        <v>1451</v>
      </c>
      <c r="AN57" s="1" t="s">
        <v>48</v>
      </c>
      <c r="AO57" s="1" t="s">
        <v>48</v>
      </c>
      <c r="AP57" s="1" t="s">
        <v>48</v>
      </c>
      <c r="AQ57" s="1" t="s">
        <v>48</v>
      </c>
      <c r="AR57" s="1" t="s">
        <v>10610</v>
      </c>
    </row>
    <row r="58" spans="1:44" x14ac:dyDescent="0.45">
      <c r="A58" s="1" t="s">
        <v>8454</v>
      </c>
      <c r="B58" s="1" t="s">
        <v>8700</v>
      </c>
      <c r="C58" s="1" t="s">
        <v>192</v>
      </c>
      <c r="D58" s="1" t="s">
        <v>52</v>
      </c>
      <c r="E58" s="1" t="s">
        <v>53</v>
      </c>
      <c r="F58" s="1" t="s">
        <v>8701</v>
      </c>
      <c r="G58" s="1" t="s">
        <v>58</v>
      </c>
      <c r="H58" s="1" t="s">
        <v>8702</v>
      </c>
      <c r="I58" s="1">
        <v>50</v>
      </c>
      <c r="J58" s="1">
        <v>8</v>
      </c>
      <c r="K58" s="1">
        <v>0</v>
      </c>
      <c r="L58" s="1">
        <v>4</v>
      </c>
      <c r="M58" s="1" t="s">
        <v>198</v>
      </c>
      <c r="N58" s="1" t="s">
        <v>146</v>
      </c>
      <c r="O58" s="1" t="s">
        <v>199</v>
      </c>
      <c r="P58" s="1" t="s">
        <v>200</v>
      </c>
      <c r="Q58" s="1" t="s">
        <v>201</v>
      </c>
      <c r="R58" s="1" t="s">
        <v>48</v>
      </c>
      <c r="S58" s="1" t="s">
        <v>202</v>
      </c>
      <c r="T58" s="1" t="s">
        <v>203</v>
      </c>
      <c r="U58" s="1" t="s">
        <v>3503</v>
      </c>
      <c r="V58" s="1">
        <v>2022</v>
      </c>
      <c r="W58" s="1">
        <v>20</v>
      </c>
      <c r="X58" s="1">
        <v>4</v>
      </c>
      <c r="Y58" s="1" t="s">
        <v>48</v>
      </c>
      <c r="Z58" s="1" t="s">
        <v>48</v>
      </c>
      <c r="AA58" s="1" t="s">
        <v>48</v>
      </c>
      <c r="AB58" s="1" t="s">
        <v>48</v>
      </c>
      <c r="AC58" s="1">
        <v>443</v>
      </c>
      <c r="AD58" s="1">
        <v>460</v>
      </c>
      <c r="AE58" s="1" t="s">
        <v>48</v>
      </c>
      <c r="AF58" s="1" t="s">
        <v>8703</v>
      </c>
      <c r="AG58" s="1" t="str">
        <f>HYPERLINK("http://dx.doi.org/10.1080/15715124.2021.1879092","http://dx.doi.org/10.1080/15715124.2021.1879092")</f>
        <v>http://dx.doi.org/10.1080/15715124.2021.1879092</v>
      </c>
      <c r="AH58" s="1" t="s">
        <v>48</v>
      </c>
      <c r="AI58" s="1" t="s">
        <v>10617</v>
      </c>
      <c r="AJ58" s="1">
        <v>18</v>
      </c>
      <c r="AK58" s="1" t="s">
        <v>205</v>
      </c>
      <c r="AL58" s="1" t="s">
        <v>124</v>
      </c>
      <c r="AM58" s="1" t="s">
        <v>205</v>
      </c>
      <c r="AN58" s="1" t="s">
        <v>48</v>
      </c>
      <c r="AO58" s="1" t="s">
        <v>48</v>
      </c>
      <c r="AP58" s="1" t="s">
        <v>48</v>
      </c>
      <c r="AQ58" s="1" t="s">
        <v>48</v>
      </c>
      <c r="AR58" s="1" t="s">
        <v>10610</v>
      </c>
    </row>
    <row r="59" spans="1:44" x14ac:dyDescent="0.45">
      <c r="A59" s="1" t="s">
        <v>166</v>
      </c>
      <c r="B59" s="1" t="s">
        <v>8704</v>
      </c>
      <c r="C59" s="1" t="s">
        <v>8705</v>
      </c>
      <c r="D59" s="1" t="s">
        <v>52</v>
      </c>
      <c r="E59" s="1" t="s">
        <v>53</v>
      </c>
      <c r="F59" s="1" t="s">
        <v>8706</v>
      </c>
      <c r="G59" s="1" t="s">
        <v>58</v>
      </c>
      <c r="H59" s="1" t="s">
        <v>8707</v>
      </c>
      <c r="I59" s="1">
        <v>51</v>
      </c>
      <c r="J59" s="1">
        <v>2</v>
      </c>
      <c r="K59" s="1">
        <v>0</v>
      </c>
      <c r="L59" s="1">
        <v>2</v>
      </c>
      <c r="M59" s="1" t="s">
        <v>8708</v>
      </c>
      <c r="N59" s="1" t="s">
        <v>8709</v>
      </c>
      <c r="O59" s="1" t="s">
        <v>8710</v>
      </c>
      <c r="P59" s="1" t="s">
        <v>8711</v>
      </c>
      <c r="Q59" s="1" t="s">
        <v>8712</v>
      </c>
      <c r="R59" s="1" t="s">
        <v>48</v>
      </c>
      <c r="S59" s="1" t="s">
        <v>8713</v>
      </c>
      <c r="T59" s="1" t="s">
        <v>8714</v>
      </c>
      <c r="U59" s="1" t="s">
        <v>352</v>
      </c>
      <c r="V59" s="1">
        <v>2021</v>
      </c>
      <c r="W59" s="1">
        <v>13</v>
      </c>
      <c r="X59" s="1">
        <v>2</v>
      </c>
      <c r="Y59" s="1" t="s">
        <v>48</v>
      </c>
      <c r="Z59" s="1" t="s">
        <v>48</v>
      </c>
      <c r="AA59" s="1" t="s">
        <v>48</v>
      </c>
      <c r="AB59" s="1" t="s">
        <v>48</v>
      </c>
      <c r="AC59" s="1">
        <v>219</v>
      </c>
      <c r="AD59" s="1">
        <v>231</v>
      </c>
      <c r="AE59" s="1" t="s">
        <v>48</v>
      </c>
      <c r="AF59" s="1" t="s">
        <v>8715</v>
      </c>
      <c r="AG59" s="1" t="str">
        <f>HYPERLINK("http://dx.doi.org/10.13057/nusbiosci/n130212","http://dx.doi.org/10.13057/nusbiosci/n130212")</f>
        <v>http://dx.doi.org/10.13057/nusbiosci/n130212</v>
      </c>
      <c r="AH59" s="1" t="s">
        <v>48</v>
      </c>
      <c r="AI59" s="1" t="s">
        <v>48</v>
      </c>
      <c r="AJ59" s="1">
        <v>13</v>
      </c>
      <c r="AK59" s="1" t="s">
        <v>522</v>
      </c>
      <c r="AL59" s="1" t="s">
        <v>124</v>
      </c>
      <c r="AM59" s="1" t="s">
        <v>523</v>
      </c>
      <c r="AN59" s="1" t="s">
        <v>48</v>
      </c>
      <c r="AO59" s="1" t="s">
        <v>125</v>
      </c>
      <c r="AP59" s="1" t="s">
        <v>48</v>
      </c>
      <c r="AQ59" s="1" t="s">
        <v>48</v>
      </c>
      <c r="AR59" s="1" t="s">
        <v>10610</v>
      </c>
    </row>
    <row r="60" spans="1:44" x14ac:dyDescent="0.45">
      <c r="A60" s="1" t="s">
        <v>8716</v>
      </c>
      <c r="B60" s="1" t="s">
        <v>8717</v>
      </c>
      <c r="C60" s="1" t="s">
        <v>8718</v>
      </c>
      <c r="D60" s="1" t="s">
        <v>52</v>
      </c>
      <c r="E60" s="1" t="s">
        <v>53</v>
      </c>
      <c r="F60" s="1" t="s">
        <v>8719</v>
      </c>
      <c r="G60" s="1" t="s">
        <v>58</v>
      </c>
      <c r="H60" s="1" t="s">
        <v>8720</v>
      </c>
      <c r="I60" s="1">
        <v>31</v>
      </c>
      <c r="J60" s="1">
        <v>13</v>
      </c>
      <c r="K60" s="1">
        <v>3</v>
      </c>
      <c r="L60" s="1">
        <v>22</v>
      </c>
      <c r="M60" s="1" t="s">
        <v>198</v>
      </c>
      <c r="N60" s="1" t="s">
        <v>146</v>
      </c>
      <c r="O60" s="1" t="s">
        <v>199</v>
      </c>
      <c r="P60" s="1" t="s">
        <v>8721</v>
      </c>
      <c r="Q60" s="1" t="s">
        <v>8722</v>
      </c>
      <c r="R60" s="1" t="s">
        <v>48</v>
      </c>
      <c r="S60" s="1" t="s">
        <v>8718</v>
      </c>
      <c r="T60" s="1" t="s">
        <v>8723</v>
      </c>
      <c r="U60" s="1" t="s">
        <v>2994</v>
      </c>
      <c r="V60" s="1">
        <v>2022</v>
      </c>
      <c r="W60" s="1">
        <v>71</v>
      </c>
      <c r="X60" s="1">
        <v>16</v>
      </c>
      <c r="Y60" s="1" t="s">
        <v>48</v>
      </c>
      <c r="Z60" s="1" t="s">
        <v>48</v>
      </c>
      <c r="AA60" s="1" t="s">
        <v>48</v>
      </c>
      <c r="AB60" s="1" t="s">
        <v>48</v>
      </c>
      <c r="AC60" s="1">
        <v>4665</v>
      </c>
      <c r="AD60" s="1">
        <v>4696</v>
      </c>
      <c r="AE60" s="1" t="s">
        <v>48</v>
      </c>
      <c r="AF60" s="1" t="s">
        <v>8724</v>
      </c>
      <c r="AG60" s="1" t="str">
        <f>HYPERLINK("http://dx.doi.org/10.1080/02331934.2021.1963246","http://dx.doi.org/10.1080/02331934.2021.1963246")</f>
        <v>http://dx.doi.org/10.1080/02331934.2021.1963246</v>
      </c>
      <c r="AH60" s="1" t="s">
        <v>48</v>
      </c>
      <c r="AI60" s="1" t="s">
        <v>10612</v>
      </c>
      <c r="AJ60" s="1">
        <v>32</v>
      </c>
      <c r="AK60" s="1" t="s">
        <v>8725</v>
      </c>
      <c r="AL60" s="1" t="s">
        <v>67</v>
      </c>
      <c r="AM60" s="1" t="s">
        <v>8726</v>
      </c>
      <c r="AN60" s="1" t="s">
        <v>48</v>
      </c>
      <c r="AO60" s="1" t="s">
        <v>48</v>
      </c>
      <c r="AP60" s="1" t="s">
        <v>48</v>
      </c>
      <c r="AQ60" s="1" t="s">
        <v>48</v>
      </c>
      <c r="AR60" s="1" t="s">
        <v>10610</v>
      </c>
    </row>
    <row r="61" spans="1:44" x14ac:dyDescent="0.45">
      <c r="A61" s="1" t="s">
        <v>8727</v>
      </c>
      <c r="B61" s="1" t="s">
        <v>8728</v>
      </c>
      <c r="C61" s="1" t="s">
        <v>1660</v>
      </c>
      <c r="D61" s="1" t="s">
        <v>52</v>
      </c>
      <c r="E61" s="1" t="s">
        <v>53</v>
      </c>
      <c r="F61" s="1" t="s">
        <v>8729</v>
      </c>
      <c r="G61" s="1" t="s">
        <v>58</v>
      </c>
      <c r="H61" s="1" t="s">
        <v>8730</v>
      </c>
      <c r="I61" s="1">
        <v>54</v>
      </c>
      <c r="J61" s="1">
        <v>8</v>
      </c>
      <c r="K61" s="1">
        <v>0</v>
      </c>
      <c r="L61" s="1">
        <v>8</v>
      </c>
      <c r="M61" s="1" t="s">
        <v>803</v>
      </c>
      <c r="N61" s="1" t="s">
        <v>239</v>
      </c>
      <c r="O61" s="1" t="s">
        <v>804</v>
      </c>
      <c r="P61" s="1" t="s">
        <v>1665</v>
      </c>
      <c r="Q61" s="1" t="s">
        <v>1666</v>
      </c>
      <c r="R61" s="1" t="s">
        <v>48</v>
      </c>
      <c r="S61" s="1" t="s">
        <v>1667</v>
      </c>
      <c r="T61" s="1" t="s">
        <v>1668</v>
      </c>
      <c r="U61" s="1" t="s">
        <v>103</v>
      </c>
      <c r="V61" s="1">
        <v>2021</v>
      </c>
      <c r="W61" s="1">
        <v>97</v>
      </c>
      <c r="X61" s="1">
        <v>7</v>
      </c>
      <c r="Y61" s="1" t="s">
        <v>48</v>
      </c>
      <c r="Z61" s="1" t="s">
        <v>48</v>
      </c>
      <c r="AA61" s="1" t="s">
        <v>48</v>
      </c>
      <c r="AB61" s="1" t="s">
        <v>48</v>
      </c>
      <c r="AC61" s="1">
        <v>781</v>
      </c>
      <c r="AD61" s="1">
        <v>788</v>
      </c>
      <c r="AE61" s="1" t="s">
        <v>48</v>
      </c>
      <c r="AF61" s="1" t="s">
        <v>8731</v>
      </c>
      <c r="AG61" s="1" t="str">
        <f>HYPERLINK("http://dx.doi.org/10.1007/s12594-021-1760-9","http://dx.doi.org/10.1007/s12594-021-1760-9")</f>
        <v>http://dx.doi.org/10.1007/s12594-021-1760-9</v>
      </c>
      <c r="AH61" s="1" t="s">
        <v>48</v>
      </c>
      <c r="AI61" s="1" t="s">
        <v>48</v>
      </c>
      <c r="AJ61" s="1">
        <v>8</v>
      </c>
      <c r="AK61" s="1" t="s">
        <v>1670</v>
      </c>
      <c r="AL61" s="1" t="s">
        <v>67</v>
      </c>
      <c r="AM61" s="1" t="s">
        <v>1671</v>
      </c>
      <c r="AN61" s="1" t="s">
        <v>48</v>
      </c>
      <c r="AO61" s="1" t="s">
        <v>48</v>
      </c>
      <c r="AP61" s="1" t="s">
        <v>48</v>
      </c>
      <c r="AQ61" s="1" t="s">
        <v>48</v>
      </c>
      <c r="AR61" s="1" t="s">
        <v>10610</v>
      </c>
    </row>
    <row r="62" spans="1:44" x14ac:dyDescent="0.45">
      <c r="A62" s="1" t="s">
        <v>1441</v>
      </c>
      <c r="B62" s="1" t="s">
        <v>8732</v>
      </c>
      <c r="C62" s="1" t="s">
        <v>1443</v>
      </c>
      <c r="D62" s="1" t="s">
        <v>52</v>
      </c>
      <c r="E62" s="1" t="s">
        <v>53</v>
      </c>
      <c r="F62" s="1" t="s">
        <v>8596</v>
      </c>
      <c r="G62" s="1" t="s">
        <v>58</v>
      </c>
      <c r="H62" s="1" t="s">
        <v>8597</v>
      </c>
      <c r="I62" s="1">
        <v>50</v>
      </c>
      <c r="J62" s="1">
        <v>17</v>
      </c>
      <c r="K62" s="1">
        <v>1</v>
      </c>
      <c r="L62" s="1">
        <v>12</v>
      </c>
      <c r="M62" s="1" t="s">
        <v>79</v>
      </c>
      <c r="N62" s="1" t="s">
        <v>80</v>
      </c>
      <c r="O62" s="1" t="s">
        <v>81</v>
      </c>
      <c r="P62" s="1" t="s">
        <v>1446</v>
      </c>
      <c r="Q62" s="1" t="s">
        <v>48</v>
      </c>
      <c r="R62" s="1" t="s">
        <v>48</v>
      </c>
      <c r="S62" s="1" t="s">
        <v>1447</v>
      </c>
      <c r="T62" s="1" t="s">
        <v>1448</v>
      </c>
      <c r="U62" s="1" t="s">
        <v>832</v>
      </c>
      <c r="V62" s="1">
        <v>2021</v>
      </c>
      <c r="W62" s="1">
        <v>44</v>
      </c>
      <c r="X62" s="1" t="s">
        <v>48</v>
      </c>
      <c r="Y62" s="1" t="s">
        <v>48</v>
      </c>
      <c r="Z62" s="1" t="s">
        <v>48</v>
      </c>
      <c r="AA62" s="1" t="s">
        <v>48</v>
      </c>
      <c r="AB62" s="1" t="s">
        <v>48</v>
      </c>
      <c r="AC62" s="1" t="s">
        <v>48</v>
      </c>
      <c r="AD62" s="1" t="s">
        <v>48</v>
      </c>
      <c r="AE62" s="1">
        <v>101766</v>
      </c>
      <c r="AF62" s="1" t="s">
        <v>8733</v>
      </c>
      <c r="AG62" s="1" t="str">
        <f>HYPERLINK("http://dx.doi.org/10.1016/j.rsma.2021.101766","http://dx.doi.org/10.1016/j.rsma.2021.101766")</f>
        <v>http://dx.doi.org/10.1016/j.rsma.2021.101766</v>
      </c>
      <c r="AH62" s="1" t="s">
        <v>48</v>
      </c>
      <c r="AI62" s="1" t="s">
        <v>10621</v>
      </c>
      <c r="AJ62" s="1">
        <v>15</v>
      </c>
      <c r="AK62" s="1" t="s">
        <v>1450</v>
      </c>
      <c r="AL62" s="1" t="s">
        <v>67</v>
      </c>
      <c r="AM62" s="1" t="s">
        <v>1451</v>
      </c>
      <c r="AN62" s="1" t="s">
        <v>48</v>
      </c>
      <c r="AO62" s="1" t="s">
        <v>48</v>
      </c>
      <c r="AP62" s="1" t="s">
        <v>48</v>
      </c>
      <c r="AQ62" s="1" t="s">
        <v>48</v>
      </c>
      <c r="AR62" s="1" t="s">
        <v>10610</v>
      </c>
    </row>
    <row r="63" spans="1:44" x14ac:dyDescent="0.45">
      <c r="A63" s="1" t="s">
        <v>8734</v>
      </c>
      <c r="B63" s="1" t="s">
        <v>8735</v>
      </c>
      <c r="C63" s="1" t="s">
        <v>1329</v>
      </c>
      <c r="D63" s="1" t="s">
        <v>52</v>
      </c>
      <c r="E63" s="1" t="s">
        <v>53</v>
      </c>
      <c r="F63" s="1" t="s">
        <v>8736</v>
      </c>
      <c r="G63" s="1" t="s">
        <v>58</v>
      </c>
      <c r="H63" s="1" t="s">
        <v>8737</v>
      </c>
      <c r="I63" s="1">
        <v>68</v>
      </c>
      <c r="J63" s="1">
        <v>8</v>
      </c>
      <c r="K63" s="1">
        <v>0</v>
      </c>
      <c r="L63" s="1">
        <v>2</v>
      </c>
      <c r="M63" s="1" t="s">
        <v>1335</v>
      </c>
      <c r="N63" s="1" t="s">
        <v>1336</v>
      </c>
      <c r="O63" s="1" t="s">
        <v>1337</v>
      </c>
      <c r="P63" s="1" t="s">
        <v>1338</v>
      </c>
      <c r="Q63" s="1" t="s">
        <v>1339</v>
      </c>
      <c r="R63" s="1" t="s">
        <v>48</v>
      </c>
      <c r="S63" s="1" t="s">
        <v>1340</v>
      </c>
      <c r="T63" s="1" t="s">
        <v>1341</v>
      </c>
      <c r="U63" s="1" t="s">
        <v>911</v>
      </c>
      <c r="V63" s="1">
        <v>2021</v>
      </c>
      <c r="W63" s="1">
        <v>2</v>
      </c>
      <c r="X63" s="1">
        <v>2</v>
      </c>
      <c r="Y63" s="1" t="s">
        <v>48</v>
      </c>
      <c r="Z63" s="1" t="s">
        <v>48</v>
      </c>
      <c r="AA63" s="1" t="s">
        <v>48</v>
      </c>
      <c r="AB63" s="1" t="s">
        <v>48</v>
      </c>
      <c r="AC63" s="1">
        <v>164</v>
      </c>
      <c r="AD63" s="1">
        <v>176</v>
      </c>
      <c r="AE63" s="1" t="s">
        <v>48</v>
      </c>
      <c r="AF63" s="1" t="s">
        <v>8738</v>
      </c>
      <c r="AG63" s="1" t="str">
        <f>HYPERLINK("http://dx.doi.org/10.1016/j.regsus.2021.06.002","http://dx.doi.org/10.1016/j.regsus.2021.06.002")</f>
        <v>http://dx.doi.org/10.1016/j.regsus.2021.06.002</v>
      </c>
      <c r="AH63" s="1" t="s">
        <v>48</v>
      </c>
      <c r="AI63" s="1" t="s">
        <v>48</v>
      </c>
      <c r="AJ63" s="1">
        <v>13</v>
      </c>
      <c r="AK63" s="1" t="s">
        <v>1343</v>
      </c>
      <c r="AL63" s="1" t="s">
        <v>124</v>
      </c>
      <c r="AM63" s="1" t="s">
        <v>439</v>
      </c>
      <c r="AN63" s="1" t="s">
        <v>48</v>
      </c>
      <c r="AO63" s="1" t="s">
        <v>125</v>
      </c>
      <c r="AP63" s="1" t="s">
        <v>48</v>
      </c>
      <c r="AQ63" s="1" t="s">
        <v>48</v>
      </c>
      <c r="AR63" s="1" t="s">
        <v>10610</v>
      </c>
    </row>
    <row r="64" spans="1:44" x14ac:dyDescent="0.45">
      <c r="A64" s="1" t="s">
        <v>8739</v>
      </c>
      <c r="B64" s="1" t="s">
        <v>8740</v>
      </c>
      <c r="C64" s="1" t="s">
        <v>1018</v>
      </c>
      <c r="D64" s="1" t="s">
        <v>52</v>
      </c>
      <c r="E64" s="1" t="s">
        <v>53</v>
      </c>
      <c r="F64" s="1" t="s">
        <v>8741</v>
      </c>
      <c r="G64" s="1" t="s">
        <v>58</v>
      </c>
      <c r="H64" s="1" t="s">
        <v>6218</v>
      </c>
      <c r="I64" s="1">
        <v>65</v>
      </c>
      <c r="J64" s="1">
        <v>12</v>
      </c>
      <c r="K64" s="1">
        <v>1</v>
      </c>
      <c r="L64" s="1">
        <v>19</v>
      </c>
      <c r="M64" s="1" t="s">
        <v>252</v>
      </c>
      <c r="N64" s="1" t="s">
        <v>253</v>
      </c>
      <c r="O64" s="1" t="s">
        <v>254</v>
      </c>
      <c r="P64" s="1" t="s">
        <v>1024</v>
      </c>
      <c r="Q64" s="1" t="s">
        <v>1025</v>
      </c>
      <c r="R64" s="1" t="s">
        <v>48</v>
      </c>
      <c r="S64" s="1" t="s">
        <v>1026</v>
      </c>
      <c r="T64" s="1" t="s">
        <v>1027</v>
      </c>
      <c r="U64" s="1" t="s">
        <v>352</v>
      </c>
      <c r="V64" s="1">
        <v>2021</v>
      </c>
      <c r="W64" s="1">
        <v>28</v>
      </c>
      <c r="X64" s="1">
        <v>42</v>
      </c>
      <c r="Y64" s="1" t="s">
        <v>48</v>
      </c>
      <c r="Z64" s="1" t="s">
        <v>48</v>
      </c>
      <c r="AA64" s="1" t="s">
        <v>48</v>
      </c>
      <c r="AB64" s="1" t="s">
        <v>48</v>
      </c>
      <c r="AC64" s="1">
        <v>58915</v>
      </c>
      <c r="AD64" s="1">
        <v>58928</v>
      </c>
      <c r="AE64" s="1" t="s">
        <v>48</v>
      </c>
      <c r="AF64" s="1" t="s">
        <v>8742</v>
      </c>
      <c r="AG64" s="1" t="str">
        <f>HYPERLINK("http://dx.doi.org/10.1007/s11356-021-13109-z","http://dx.doi.org/10.1007/s11356-021-13109-z")</f>
        <v>http://dx.doi.org/10.1007/s11356-021-13109-z</v>
      </c>
      <c r="AH64" s="1" t="s">
        <v>48</v>
      </c>
      <c r="AI64" s="1" t="s">
        <v>10618</v>
      </c>
      <c r="AJ64" s="1">
        <v>14</v>
      </c>
      <c r="AK64" s="1" t="s">
        <v>438</v>
      </c>
      <c r="AL64" s="1" t="s">
        <v>67</v>
      </c>
      <c r="AM64" s="1" t="s">
        <v>439</v>
      </c>
      <c r="AN64" s="1">
        <v>33660173</v>
      </c>
      <c r="AO64" s="1" t="s">
        <v>48</v>
      </c>
      <c r="AP64" s="1" t="s">
        <v>48</v>
      </c>
      <c r="AQ64" s="1" t="s">
        <v>48</v>
      </c>
      <c r="AR64" s="1" t="s">
        <v>10610</v>
      </c>
    </row>
    <row r="65" spans="1:44" x14ac:dyDescent="0.45">
      <c r="A65" s="1" t="s">
        <v>8783</v>
      </c>
      <c r="B65" s="1" t="s">
        <v>8784</v>
      </c>
      <c r="C65" s="1" t="s">
        <v>8785</v>
      </c>
      <c r="D65" s="1" t="s">
        <v>52</v>
      </c>
      <c r="E65" s="1" t="s">
        <v>53</v>
      </c>
      <c r="F65" s="1" t="s">
        <v>8786</v>
      </c>
      <c r="G65" s="1" t="s">
        <v>58</v>
      </c>
      <c r="H65" s="1" t="s">
        <v>837</v>
      </c>
      <c r="I65" s="1">
        <v>35</v>
      </c>
      <c r="J65" s="1">
        <v>2</v>
      </c>
      <c r="K65" s="1">
        <v>1</v>
      </c>
      <c r="L65" s="1">
        <v>6</v>
      </c>
      <c r="M65" s="1" t="s">
        <v>2469</v>
      </c>
      <c r="N65" s="1" t="s">
        <v>504</v>
      </c>
      <c r="O65" s="1" t="s">
        <v>2470</v>
      </c>
      <c r="P65" s="1" t="s">
        <v>8787</v>
      </c>
      <c r="Q65" s="1" t="s">
        <v>8788</v>
      </c>
      <c r="R65" s="1" t="s">
        <v>48</v>
      </c>
      <c r="S65" s="1" t="s">
        <v>8789</v>
      </c>
      <c r="T65" s="1" t="s">
        <v>8790</v>
      </c>
      <c r="U65" s="1" t="s">
        <v>86</v>
      </c>
      <c r="V65" s="1">
        <v>2021</v>
      </c>
      <c r="W65" s="1">
        <v>57</v>
      </c>
      <c r="X65" s="1" t="s">
        <v>3360</v>
      </c>
      <c r="Y65" s="1" t="s">
        <v>48</v>
      </c>
      <c r="Z65" s="1">
        <v>1</v>
      </c>
      <c r="AA65" s="1" t="s">
        <v>48</v>
      </c>
      <c r="AB65" s="1" t="s">
        <v>48</v>
      </c>
      <c r="AC65" s="1" t="s">
        <v>8791</v>
      </c>
      <c r="AD65" s="1" t="s">
        <v>8792</v>
      </c>
      <c r="AE65" s="1" t="s">
        <v>48</v>
      </c>
      <c r="AF65" s="1" t="s">
        <v>8793</v>
      </c>
      <c r="AG65" s="1" t="str">
        <f>HYPERLINK("http://dx.doi.org/10.1134/S0003683821100069","http://dx.doi.org/10.1134/S0003683821100069")</f>
        <v>http://dx.doi.org/10.1134/S0003683821100069</v>
      </c>
      <c r="AH65" s="1" t="s">
        <v>48</v>
      </c>
      <c r="AI65" s="1" t="s">
        <v>48</v>
      </c>
      <c r="AJ65" s="1">
        <v>10</v>
      </c>
      <c r="AK65" s="1" t="s">
        <v>123</v>
      </c>
      <c r="AL65" s="1" t="s">
        <v>67</v>
      </c>
      <c r="AM65" s="1" t="s">
        <v>123</v>
      </c>
      <c r="AN65" s="1" t="s">
        <v>48</v>
      </c>
      <c r="AO65" s="1" t="s">
        <v>48</v>
      </c>
      <c r="AP65" s="1" t="s">
        <v>48</v>
      </c>
      <c r="AQ65" s="1" t="s">
        <v>48</v>
      </c>
      <c r="AR65" s="1" t="s">
        <v>10610</v>
      </c>
    </row>
    <row r="66" spans="1:44" x14ac:dyDescent="0.45">
      <c r="A66" s="1" t="s">
        <v>8794</v>
      </c>
      <c r="B66" s="1" t="s">
        <v>8795</v>
      </c>
      <c r="C66" s="1" t="s">
        <v>1231</v>
      </c>
      <c r="D66" s="1" t="s">
        <v>52</v>
      </c>
      <c r="E66" s="1" t="s">
        <v>53</v>
      </c>
      <c r="F66" s="1" t="s">
        <v>8796</v>
      </c>
      <c r="G66" s="1" t="s">
        <v>58</v>
      </c>
      <c r="H66" s="1" t="s">
        <v>8797</v>
      </c>
      <c r="I66" s="1">
        <v>68</v>
      </c>
      <c r="J66" s="1">
        <v>10</v>
      </c>
      <c r="K66" s="1">
        <v>1</v>
      </c>
      <c r="L66" s="1">
        <v>12</v>
      </c>
      <c r="M66" s="1" t="s">
        <v>347</v>
      </c>
      <c r="N66" s="1" t="s">
        <v>348</v>
      </c>
      <c r="O66" s="1" t="s">
        <v>349</v>
      </c>
      <c r="P66" s="1" t="s">
        <v>1234</v>
      </c>
      <c r="Q66" s="1" t="s">
        <v>1235</v>
      </c>
      <c r="R66" s="1" t="s">
        <v>48</v>
      </c>
      <c r="S66" s="1" t="s">
        <v>1236</v>
      </c>
      <c r="T66" s="1" t="s">
        <v>1237</v>
      </c>
      <c r="U66" s="1" t="s">
        <v>598</v>
      </c>
      <c r="V66" s="1">
        <v>2021</v>
      </c>
      <c r="W66" s="1">
        <v>45</v>
      </c>
      <c r="X66" s="1">
        <v>8</v>
      </c>
      <c r="Y66" s="1" t="s">
        <v>48</v>
      </c>
      <c r="Z66" s="1" t="s">
        <v>48</v>
      </c>
      <c r="AA66" s="1" t="s">
        <v>48</v>
      </c>
      <c r="AB66" s="1" t="s">
        <v>48</v>
      </c>
      <c r="AC66" s="1" t="s">
        <v>48</v>
      </c>
      <c r="AD66" s="1" t="s">
        <v>48</v>
      </c>
      <c r="AE66" s="1" t="s">
        <v>8798</v>
      </c>
      <c r="AF66" s="1" t="s">
        <v>8799</v>
      </c>
      <c r="AG66" s="1" t="str">
        <f>HYPERLINK("http://dx.doi.org/10.1111/jfbc.13859","http://dx.doi.org/10.1111/jfbc.13859")</f>
        <v>http://dx.doi.org/10.1111/jfbc.13859</v>
      </c>
      <c r="AH66" s="1" t="s">
        <v>48</v>
      </c>
      <c r="AI66" s="1" t="s">
        <v>10623</v>
      </c>
      <c r="AJ66" s="1">
        <v>12</v>
      </c>
      <c r="AK66" s="1" t="s">
        <v>1239</v>
      </c>
      <c r="AL66" s="1" t="s">
        <v>67</v>
      </c>
      <c r="AM66" s="1" t="s">
        <v>1239</v>
      </c>
      <c r="AN66" s="1">
        <v>34258791</v>
      </c>
      <c r="AO66" s="1" t="s">
        <v>125</v>
      </c>
      <c r="AP66" s="1" t="s">
        <v>48</v>
      </c>
      <c r="AQ66" s="1" t="s">
        <v>48</v>
      </c>
      <c r="AR66" s="1" t="s">
        <v>10610</v>
      </c>
    </row>
    <row r="67" spans="1:44" x14ac:dyDescent="0.45">
      <c r="A67" s="1" t="s">
        <v>8800</v>
      </c>
      <c r="B67" s="1" t="s">
        <v>8801</v>
      </c>
      <c r="C67" s="1" t="s">
        <v>1891</v>
      </c>
      <c r="D67" s="1" t="s">
        <v>52</v>
      </c>
      <c r="E67" s="1" t="s">
        <v>53</v>
      </c>
      <c r="F67" s="1" t="s">
        <v>8802</v>
      </c>
      <c r="G67" s="1" t="s">
        <v>58</v>
      </c>
      <c r="H67" s="1" t="s">
        <v>1286</v>
      </c>
      <c r="I67" s="1">
        <v>106</v>
      </c>
      <c r="J67" s="1">
        <v>19</v>
      </c>
      <c r="K67" s="1">
        <v>3</v>
      </c>
      <c r="L67" s="1">
        <v>18</v>
      </c>
      <c r="M67" s="1" t="s">
        <v>79</v>
      </c>
      <c r="N67" s="1" t="s">
        <v>80</v>
      </c>
      <c r="O67" s="1" t="s">
        <v>81</v>
      </c>
      <c r="P67" s="1" t="s">
        <v>1892</v>
      </c>
      <c r="Q67" s="1" t="s">
        <v>48</v>
      </c>
      <c r="R67" s="1" t="s">
        <v>48</v>
      </c>
      <c r="S67" s="1" t="s">
        <v>1893</v>
      </c>
      <c r="T67" s="1" t="s">
        <v>1894</v>
      </c>
      <c r="U67" s="1" t="s">
        <v>911</v>
      </c>
      <c r="V67" s="1">
        <v>2021</v>
      </c>
      <c r="W67" s="1">
        <v>22</v>
      </c>
      <c r="X67" s="1" t="s">
        <v>48</v>
      </c>
      <c r="Y67" s="1" t="s">
        <v>48</v>
      </c>
      <c r="Z67" s="1" t="s">
        <v>48</v>
      </c>
      <c r="AA67" s="1" t="s">
        <v>48</v>
      </c>
      <c r="AB67" s="1" t="s">
        <v>48</v>
      </c>
      <c r="AC67" s="1" t="s">
        <v>48</v>
      </c>
      <c r="AD67" s="1" t="s">
        <v>48</v>
      </c>
      <c r="AE67" s="1">
        <v>100502</v>
      </c>
      <c r="AF67" s="1" t="s">
        <v>8803</v>
      </c>
      <c r="AG67" s="1" t="str">
        <f>HYPERLINK("http://dx.doi.org/10.1016/j.rsase.2021.100502","http://dx.doi.org/10.1016/j.rsase.2021.100502")</f>
        <v>http://dx.doi.org/10.1016/j.rsase.2021.100502</v>
      </c>
      <c r="AH67" s="1" t="s">
        <v>48</v>
      </c>
      <c r="AI67" s="1" t="s">
        <v>10621</v>
      </c>
      <c r="AJ67" s="1">
        <v>13</v>
      </c>
      <c r="AK67" s="1" t="s">
        <v>1896</v>
      </c>
      <c r="AL67" s="1" t="s">
        <v>124</v>
      </c>
      <c r="AM67" s="1" t="s">
        <v>1897</v>
      </c>
      <c r="AN67" s="1" t="s">
        <v>48</v>
      </c>
      <c r="AO67" s="1" t="s">
        <v>48</v>
      </c>
      <c r="AP67" s="1" t="s">
        <v>48</v>
      </c>
      <c r="AQ67" s="1" t="s">
        <v>48</v>
      </c>
      <c r="AR67" s="1" t="s">
        <v>10610</v>
      </c>
    </row>
    <row r="68" spans="1:44" x14ac:dyDescent="0.45">
      <c r="A68" s="1" t="s">
        <v>8817</v>
      </c>
      <c r="B68" s="1" t="s">
        <v>8818</v>
      </c>
      <c r="C68" s="1" t="s">
        <v>8819</v>
      </c>
      <c r="D68" s="1" t="s">
        <v>52</v>
      </c>
      <c r="E68" s="1" t="s">
        <v>3750</v>
      </c>
      <c r="F68" s="1" t="s">
        <v>8820</v>
      </c>
      <c r="G68" s="1" t="s">
        <v>58</v>
      </c>
      <c r="H68" s="1" t="s">
        <v>5782</v>
      </c>
      <c r="I68" s="1">
        <v>51</v>
      </c>
      <c r="J68" s="1">
        <v>5</v>
      </c>
      <c r="K68" s="1">
        <v>0</v>
      </c>
      <c r="L68" s="1">
        <v>4</v>
      </c>
      <c r="M68" s="1" t="s">
        <v>3812</v>
      </c>
      <c r="N68" s="1" t="s">
        <v>2271</v>
      </c>
      <c r="O68" s="1" t="s">
        <v>2272</v>
      </c>
      <c r="P68" s="1" t="s">
        <v>3813</v>
      </c>
      <c r="Q68" s="1" t="s">
        <v>3814</v>
      </c>
      <c r="R68" s="1" t="s">
        <v>8821</v>
      </c>
      <c r="S68" s="1" t="s">
        <v>3815</v>
      </c>
      <c r="T68" s="1" t="s">
        <v>48</v>
      </c>
      <c r="U68" s="1" t="s">
        <v>48</v>
      </c>
      <c r="V68" s="1">
        <v>2021</v>
      </c>
      <c r="W68" s="1">
        <v>1458</v>
      </c>
      <c r="X68" s="1" t="s">
        <v>48</v>
      </c>
      <c r="Y68" s="1" t="s">
        <v>48</v>
      </c>
      <c r="Z68" s="1" t="s">
        <v>48</v>
      </c>
      <c r="AA68" s="1" t="s">
        <v>48</v>
      </c>
      <c r="AB68" s="1" t="s">
        <v>48</v>
      </c>
      <c r="AC68" s="1">
        <v>219</v>
      </c>
      <c r="AD68" s="1">
        <v>237</v>
      </c>
      <c r="AE68" s="1" t="s">
        <v>48</v>
      </c>
      <c r="AF68" s="1" t="s">
        <v>8822</v>
      </c>
      <c r="AG68" s="1" t="str">
        <f>HYPERLINK("http://dx.doi.org/10.1007/978-3-030-89743-7_12","http://dx.doi.org/10.1007/978-3-030-89743-7_12")</f>
        <v>http://dx.doi.org/10.1007/978-3-030-89743-7_12</v>
      </c>
      <c r="AH68" s="1" t="s">
        <v>48</v>
      </c>
      <c r="AI68" s="1" t="s">
        <v>48</v>
      </c>
      <c r="AJ68" s="1">
        <v>19</v>
      </c>
      <c r="AK68" s="1" t="s">
        <v>8823</v>
      </c>
      <c r="AL68" s="1" t="s">
        <v>3758</v>
      </c>
      <c r="AM68" s="1" t="s">
        <v>1733</v>
      </c>
      <c r="AN68" s="1" t="s">
        <v>48</v>
      </c>
      <c r="AO68" s="1" t="s">
        <v>48</v>
      </c>
      <c r="AP68" s="1" t="s">
        <v>48</v>
      </c>
      <c r="AQ68" s="1" t="s">
        <v>48</v>
      </c>
      <c r="AR68" s="1" t="s">
        <v>10610</v>
      </c>
    </row>
    <row r="69" spans="1:44" x14ac:dyDescent="0.45">
      <c r="A69" s="1" t="s">
        <v>8824</v>
      </c>
      <c r="B69" s="1" t="s">
        <v>8825</v>
      </c>
      <c r="C69" s="1" t="s">
        <v>8826</v>
      </c>
      <c r="D69" s="1" t="s">
        <v>52</v>
      </c>
      <c r="E69" s="1" t="s">
        <v>53</v>
      </c>
      <c r="F69" s="1" t="s">
        <v>8827</v>
      </c>
      <c r="G69" s="1" t="s">
        <v>77</v>
      </c>
      <c r="H69" s="1" t="s">
        <v>8828</v>
      </c>
      <c r="I69" s="1">
        <v>38</v>
      </c>
      <c r="J69" s="1">
        <v>6</v>
      </c>
      <c r="K69" s="1">
        <v>0</v>
      </c>
      <c r="L69" s="1">
        <v>7</v>
      </c>
      <c r="M69" s="1" t="s">
        <v>79</v>
      </c>
      <c r="N69" s="1" t="s">
        <v>80</v>
      </c>
      <c r="O69" s="1" t="s">
        <v>81</v>
      </c>
      <c r="P69" s="1" t="s">
        <v>48</v>
      </c>
      <c r="Q69" s="1" t="s">
        <v>8829</v>
      </c>
      <c r="R69" s="1" t="s">
        <v>48</v>
      </c>
      <c r="S69" s="1" t="s">
        <v>8830</v>
      </c>
      <c r="T69" s="1" t="s">
        <v>8831</v>
      </c>
      <c r="U69" s="1" t="s">
        <v>48</v>
      </c>
      <c r="V69" s="1">
        <v>2021</v>
      </c>
      <c r="W69" s="1">
        <v>8</v>
      </c>
      <c r="X69" s="1" t="s">
        <v>48</v>
      </c>
      <c r="Y69" s="1" t="s">
        <v>48</v>
      </c>
      <c r="Z69" s="1" t="s">
        <v>48</v>
      </c>
      <c r="AA69" s="1" t="s">
        <v>48</v>
      </c>
      <c r="AB69" s="1" t="s">
        <v>48</v>
      </c>
      <c r="AC69" s="1">
        <v>888</v>
      </c>
      <c r="AD69" s="1">
        <v>895</v>
      </c>
      <c r="AE69" s="1" t="s">
        <v>48</v>
      </c>
      <c r="AF69" s="1" t="s">
        <v>8832</v>
      </c>
      <c r="AG69" s="1" t="str">
        <f>HYPERLINK("http://dx.doi.org/10.1016/j.toxrep.2021.04.006","http://dx.doi.org/10.1016/j.toxrep.2021.04.006")</f>
        <v>http://dx.doi.org/10.1016/j.toxrep.2021.04.006</v>
      </c>
      <c r="AH69" s="1" t="s">
        <v>48</v>
      </c>
      <c r="AI69" s="1" t="s">
        <v>48</v>
      </c>
      <c r="AJ69" s="1">
        <v>8</v>
      </c>
      <c r="AK69" s="1" t="s">
        <v>8833</v>
      </c>
      <c r="AL69" s="1" t="s">
        <v>124</v>
      </c>
      <c r="AM69" s="1" t="s">
        <v>8833</v>
      </c>
      <c r="AN69" s="1">
        <v>33996502</v>
      </c>
      <c r="AO69" s="1" t="s">
        <v>337</v>
      </c>
      <c r="AP69" s="1" t="s">
        <v>48</v>
      </c>
      <c r="AQ69" s="1" t="s">
        <v>48</v>
      </c>
      <c r="AR69" s="1" t="s">
        <v>10610</v>
      </c>
    </row>
    <row r="70" spans="1:44" x14ac:dyDescent="0.45">
      <c r="A70" s="1" t="s">
        <v>8438</v>
      </c>
      <c r="B70" s="1" t="s">
        <v>8743</v>
      </c>
      <c r="C70" s="1" t="s">
        <v>979</v>
      </c>
      <c r="D70" s="1" t="s">
        <v>52</v>
      </c>
      <c r="E70" s="1" t="s">
        <v>53</v>
      </c>
      <c r="F70" s="1" t="s">
        <v>8744</v>
      </c>
      <c r="G70" s="1" t="s">
        <v>58</v>
      </c>
      <c r="H70" s="1" t="s">
        <v>8745</v>
      </c>
      <c r="I70" s="1">
        <v>97</v>
      </c>
      <c r="J70" s="1">
        <v>9</v>
      </c>
      <c r="K70" s="1">
        <v>3</v>
      </c>
      <c r="L70" s="1">
        <v>26</v>
      </c>
      <c r="M70" s="1" t="s">
        <v>198</v>
      </c>
      <c r="N70" s="1" t="s">
        <v>146</v>
      </c>
      <c r="O70" s="1" t="s">
        <v>199</v>
      </c>
      <c r="P70" s="1" t="s">
        <v>982</v>
      </c>
      <c r="Q70" s="1" t="s">
        <v>983</v>
      </c>
      <c r="R70" s="1" t="s">
        <v>48</v>
      </c>
      <c r="S70" s="1" t="s">
        <v>984</v>
      </c>
      <c r="T70" s="1" t="s">
        <v>985</v>
      </c>
      <c r="U70" s="1" t="s">
        <v>8380</v>
      </c>
      <c r="V70" s="1">
        <v>2022</v>
      </c>
      <c r="W70" s="1">
        <v>37</v>
      </c>
      <c r="X70" s="1">
        <v>22</v>
      </c>
      <c r="Y70" s="1" t="s">
        <v>48</v>
      </c>
      <c r="Z70" s="1" t="s">
        <v>48</v>
      </c>
      <c r="AA70" s="1" t="s">
        <v>48</v>
      </c>
      <c r="AB70" s="1" t="s">
        <v>48</v>
      </c>
      <c r="AC70" s="1">
        <v>6551</v>
      </c>
      <c r="AD70" s="1">
        <v>6578</v>
      </c>
      <c r="AE70" s="1" t="s">
        <v>48</v>
      </c>
      <c r="AF70" s="1" t="s">
        <v>8746</v>
      </c>
      <c r="AG70" s="1" t="str">
        <f>HYPERLINK("http://dx.doi.org/10.1080/10106049.2021.1952315","http://dx.doi.org/10.1080/10106049.2021.1952315")</f>
        <v>http://dx.doi.org/10.1080/10106049.2021.1952315</v>
      </c>
      <c r="AH70" s="1" t="s">
        <v>48</v>
      </c>
      <c r="AI70" s="1" t="s">
        <v>10623</v>
      </c>
      <c r="AJ70" s="1">
        <v>28</v>
      </c>
      <c r="AK70" s="1" t="s">
        <v>988</v>
      </c>
      <c r="AL70" s="1" t="s">
        <v>67</v>
      </c>
      <c r="AM70" s="1" t="s">
        <v>989</v>
      </c>
      <c r="AN70" s="1" t="s">
        <v>48</v>
      </c>
      <c r="AO70" s="1" t="s">
        <v>2074</v>
      </c>
      <c r="AP70" s="1" t="s">
        <v>48</v>
      </c>
      <c r="AQ70" s="1" t="s">
        <v>48</v>
      </c>
      <c r="AR70" s="1" t="s">
        <v>10610</v>
      </c>
    </row>
    <row r="71" spans="1:44" x14ac:dyDescent="0.45">
      <c r="A71" s="1" t="s">
        <v>8747</v>
      </c>
      <c r="B71" s="1" t="s">
        <v>8748</v>
      </c>
      <c r="C71" s="1" t="s">
        <v>8749</v>
      </c>
      <c r="D71" s="1" t="s">
        <v>52</v>
      </c>
      <c r="E71" s="1" t="s">
        <v>53</v>
      </c>
      <c r="F71" s="1" t="s">
        <v>8750</v>
      </c>
      <c r="G71" s="1" t="s">
        <v>58</v>
      </c>
      <c r="H71" s="1" t="s">
        <v>8751</v>
      </c>
      <c r="I71" s="1">
        <v>30</v>
      </c>
      <c r="J71" s="1">
        <v>4</v>
      </c>
      <c r="K71" s="1">
        <v>1</v>
      </c>
      <c r="L71" s="1">
        <v>3</v>
      </c>
      <c r="M71" s="1" t="s">
        <v>8752</v>
      </c>
      <c r="N71" s="1" t="s">
        <v>8753</v>
      </c>
      <c r="O71" s="1" t="s">
        <v>8754</v>
      </c>
      <c r="P71" s="1" t="s">
        <v>8755</v>
      </c>
      <c r="Q71" s="1" t="s">
        <v>8756</v>
      </c>
      <c r="R71" s="1" t="s">
        <v>48</v>
      </c>
      <c r="S71" s="1" t="s">
        <v>8757</v>
      </c>
      <c r="T71" s="1" t="s">
        <v>8758</v>
      </c>
      <c r="U71" s="1" t="s">
        <v>103</v>
      </c>
      <c r="V71" s="1">
        <v>2021</v>
      </c>
      <c r="W71" s="1">
        <v>11</v>
      </c>
      <c r="X71" s="1">
        <v>3</v>
      </c>
      <c r="Y71" s="1" t="s">
        <v>48</v>
      </c>
      <c r="Z71" s="1" t="s">
        <v>48</v>
      </c>
      <c r="AA71" s="1" t="s">
        <v>48</v>
      </c>
      <c r="AB71" s="1" t="s">
        <v>48</v>
      </c>
      <c r="AC71" s="1">
        <v>171</v>
      </c>
      <c r="AD71" s="1">
        <v>190</v>
      </c>
      <c r="AE71" s="1" t="s">
        <v>48</v>
      </c>
      <c r="AF71" s="1" t="s">
        <v>8759</v>
      </c>
      <c r="AG71" s="1" t="str">
        <f>HYPERLINK("http://dx.doi.org/10.46604/ijeti.2021.7354","http://dx.doi.org/10.46604/ijeti.2021.7354")</f>
        <v>http://dx.doi.org/10.46604/ijeti.2021.7354</v>
      </c>
      <c r="AH71" s="1" t="s">
        <v>48</v>
      </c>
      <c r="AI71" s="1" t="s">
        <v>48</v>
      </c>
      <c r="AJ71" s="1">
        <v>20</v>
      </c>
      <c r="AK71" s="1" t="s">
        <v>1732</v>
      </c>
      <c r="AL71" s="1" t="s">
        <v>124</v>
      </c>
      <c r="AM71" s="1" t="s">
        <v>1733</v>
      </c>
      <c r="AN71" s="1" t="s">
        <v>48</v>
      </c>
      <c r="AO71" s="1" t="s">
        <v>125</v>
      </c>
      <c r="AP71" s="1" t="s">
        <v>48</v>
      </c>
      <c r="AQ71" s="1" t="s">
        <v>48</v>
      </c>
      <c r="AR71" s="1" t="s">
        <v>10610</v>
      </c>
    </row>
    <row r="72" spans="1:44" x14ac:dyDescent="0.45">
      <c r="A72" s="1" t="s">
        <v>8760</v>
      </c>
      <c r="B72" s="1" t="s">
        <v>8761</v>
      </c>
      <c r="C72" s="1" t="s">
        <v>8762</v>
      </c>
      <c r="D72" s="1" t="s">
        <v>52</v>
      </c>
      <c r="E72" s="1" t="s">
        <v>53</v>
      </c>
      <c r="F72" s="1" t="s">
        <v>8763</v>
      </c>
      <c r="G72" s="1" t="s">
        <v>58</v>
      </c>
      <c r="H72" s="1" t="s">
        <v>8764</v>
      </c>
      <c r="I72" s="1">
        <v>78</v>
      </c>
      <c r="J72" s="1">
        <v>2</v>
      </c>
      <c r="K72" s="1">
        <v>0</v>
      </c>
      <c r="L72" s="1">
        <v>2</v>
      </c>
      <c r="M72" s="1" t="s">
        <v>748</v>
      </c>
      <c r="N72" s="1" t="s">
        <v>749</v>
      </c>
      <c r="O72" s="1" t="s">
        <v>750</v>
      </c>
      <c r="P72" s="1" t="s">
        <v>8765</v>
      </c>
      <c r="Q72" s="1" t="s">
        <v>8766</v>
      </c>
      <c r="R72" s="1" t="s">
        <v>48</v>
      </c>
      <c r="S72" s="1" t="s">
        <v>8767</v>
      </c>
      <c r="T72" s="1" t="s">
        <v>8768</v>
      </c>
      <c r="U72" s="1" t="s">
        <v>10626</v>
      </c>
      <c r="V72" s="1">
        <v>2021</v>
      </c>
      <c r="W72" s="1">
        <v>36</v>
      </c>
      <c r="X72" s="1">
        <v>8</v>
      </c>
      <c r="Y72" s="1" t="s">
        <v>48</v>
      </c>
      <c r="Z72" s="1" t="s">
        <v>48</v>
      </c>
      <c r="AA72" s="1" t="s">
        <v>48</v>
      </c>
      <c r="AB72" s="1" t="s">
        <v>48</v>
      </c>
      <c r="AC72" s="1" t="s">
        <v>48</v>
      </c>
      <c r="AD72" s="1" t="s">
        <v>48</v>
      </c>
      <c r="AE72" s="1">
        <v>2150049</v>
      </c>
      <c r="AF72" s="1" t="s">
        <v>8769</v>
      </c>
      <c r="AG72" s="1" t="str">
        <f>HYPERLINK("http://dx.doi.org/10.1142/S0217732321500498","http://dx.doi.org/10.1142/S0217732321500498")</f>
        <v>http://dx.doi.org/10.1142/S0217732321500498</v>
      </c>
      <c r="AH72" s="1" t="s">
        <v>48</v>
      </c>
      <c r="AI72" s="1" t="s">
        <v>48</v>
      </c>
      <c r="AJ72" s="1">
        <v>13</v>
      </c>
      <c r="AK72" s="1" t="s">
        <v>8770</v>
      </c>
      <c r="AL72" s="1" t="s">
        <v>67</v>
      </c>
      <c r="AM72" s="1" t="s">
        <v>3709</v>
      </c>
      <c r="AN72" s="1" t="s">
        <v>48</v>
      </c>
      <c r="AO72" s="1" t="s">
        <v>48</v>
      </c>
      <c r="AP72" s="1" t="s">
        <v>48</v>
      </c>
      <c r="AQ72" s="1" t="s">
        <v>48</v>
      </c>
      <c r="AR72" s="1" t="s">
        <v>10610</v>
      </c>
    </row>
    <row r="73" spans="1:44" x14ac:dyDescent="0.45">
      <c r="A73" s="1" t="s">
        <v>8771</v>
      </c>
      <c r="B73" s="1" t="s">
        <v>8772</v>
      </c>
      <c r="C73" s="1" t="s">
        <v>8577</v>
      </c>
      <c r="D73" s="1" t="s">
        <v>52</v>
      </c>
      <c r="E73" s="1" t="s">
        <v>53</v>
      </c>
      <c r="F73" s="1" t="s">
        <v>8773</v>
      </c>
      <c r="G73" s="1" t="s">
        <v>58</v>
      </c>
      <c r="H73" s="1" t="s">
        <v>1883</v>
      </c>
      <c r="I73" s="1">
        <v>47</v>
      </c>
      <c r="J73" s="1">
        <v>14</v>
      </c>
      <c r="K73" s="1">
        <v>0</v>
      </c>
      <c r="L73" s="1">
        <v>15</v>
      </c>
      <c r="M73" s="1" t="s">
        <v>79</v>
      </c>
      <c r="N73" s="1" t="s">
        <v>80</v>
      </c>
      <c r="O73" s="1" t="s">
        <v>81</v>
      </c>
      <c r="P73" s="1" t="s">
        <v>8579</v>
      </c>
      <c r="Q73" s="1" t="s">
        <v>8580</v>
      </c>
      <c r="R73" s="1" t="s">
        <v>48</v>
      </c>
      <c r="S73" s="1" t="s">
        <v>8581</v>
      </c>
      <c r="T73" s="1" t="s">
        <v>8582</v>
      </c>
      <c r="U73" s="1" t="s">
        <v>86</v>
      </c>
      <c r="V73" s="1">
        <v>2021</v>
      </c>
      <c r="W73" s="1">
        <v>24</v>
      </c>
      <c r="X73" s="1">
        <v>3</v>
      </c>
      <c r="Y73" s="1">
        <v>2</v>
      </c>
      <c r="Z73" s="1" t="s">
        <v>48</v>
      </c>
      <c r="AA73" s="1" t="s">
        <v>48</v>
      </c>
      <c r="AB73" s="1" t="s">
        <v>48</v>
      </c>
      <c r="AC73" s="1">
        <v>1037</v>
      </c>
      <c r="AD73" s="1">
        <v>1049</v>
      </c>
      <c r="AE73" s="1" t="s">
        <v>48</v>
      </c>
      <c r="AF73" s="1" t="s">
        <v>8774</v>
      </c>
      <c r="AG73" s="1" t="str">
        <f>HYPERLINK("http://dx.doi.org/10.1016/j.ejrs.2021.11.002","http://dx.doi.org/10.1016/j.ejrs.2021.11.002")</f>
        <v>http://dx.doi.org/10.1016/j.ejrs.2021.11.002</v>
      </c>
      <c r="AH73" s="1" t="s">
        <v>48</v>
      </c>
      <c r="AI73" s="1" t="s">
        <v>48</v>
      </c>
      <c r="AJ73" s="1">
        <v>13</v>
      </c>
      <c r="AK73" s="1" t="s">
        <v>1896</v>
      </c>
      <c r="AL73" s="1" t="s">
        <v>67</v>
      </c>
      <c r="AM73" s="1" t="s">
        <v>1897</v>
      </c>
      <c r="AN73" s="1" t="s">
        <v>48</v>
      </c>
      <c r="AO73" s="1" t="s">
        <v>125</v>
      </c>
      <c r="AP73" s="1" t="s">
        <v>48</v>
      </c>
      <c r="AQ73" s="1" t="s">
        <v>48</v>
      </c>
      <c r="AR73" s="1" t="s">
        <v>10610</v>
      </c>
    </row>
    <row r="74" spans="1:44" x14ac:dyDescent="0.45">
      <c r="A74" s="1" t="s">
        <v>1012</v>
      </c>
      <c r="B74" s="1" t="s">
        <v>8775</v>
      </c>
      <c r="C74" s="1" t="s">
        <v>1931</v>
      </c>
      <c r="D74" s="1" t="s">
        <v>52</v>
      </c>
      <c r="E74" s="1" t="s">
        <v>53</v>
      </c>
      <c r="F74" s="1" t="s">
        <v>2100</v>
      </c>
      <c r="G74" s="1" t="s">
        <v>58</v>
      </c>
      <c r="H74" s="1" t="s">
        <v>1045</v>
      </c>
      <c r="I74" s="1">
        <v>37</v>
      </c>
      <c r="J74" s="1">
        <v>26</v>
      </c>
      <c r="K74" s="1">
        <v>0</v>
      </c>
      <c r="L74" s="1">
        <v>8</v>
      </c>
      <c r="M74" s="1" t="s">
        <v>252</v>
      </c>
      <c r="N74" s="1" t="s">
        <v>253</v>
      </c>
      <c r="O74" s="1" t="s">
        <v>254</v>
      </c>
      <c r="P74" s="1" t="s">
        <v>1932</v>
      </c>
      <c r="Q74" s="1" t="s">
        <v>1933</v>
      </c>
      <c r="R74" s="1" t="s">
        <v>48</v>
      </c>
      <c r="S74" s="1" t="s">
        <v>1934</v>
      </c>
      <c r="T74" s="1" t="s">
        <v>1935</v>
      </c>
      <c r="U74" s="1" t="s">
        <v>911</v>
      </c>
      <c r="V74" s="1">
        <v>2022</v>
      </c>
      <c r="W74" s="1">
        <v>8</v>
      </c>
      <c r="X74" s="1">
        <v>2</v>
      </c>
      <c r="Y74" s="1" t="s">
        <v>48</v>
      </c>
      <c r="Z74" s="1" t="s">
        <v>48</v>
      </c>
      <c r="AA74" s="1" t="s">
        <v>1260</v>
      </c>
      <c r="AB74" s="1" t="s">
        <v>48</v>
      </c>
      <c r="AC74" s="1">
        <v>1115</v>
      </c>
      <c r="AD74" s="1">
        <v>1127</v>
      </c>
      <c r="AE74" s="1" t="s">
        <v>48</v>
      </c>
      <c r="AF74" s="1" t="s">
        <v>8776</v>
      </c>
      <c r="AG74" s="1" t="str">
        <f>HYPERLINK("http://dx.doi.org/10.1007/s40747-021-00580-x","http://dx.doi.org/10.1007/s40747-021-00580-x")</f>
        <v>http://dx.doi.org/10.1007/s40747-021-00580-x</v>
      </c>
      <c r="AH74" s="1" t="s">
        <v>48</v>
      </c>
      <c r="AI74" s="1" t="s">
        <v>10616</v>
      </c>
      <c r="AJ74" s="1">
        <v>13</v>
      </c>
      <c r="AK74" s="1" t="s">
        <v>549</v>
      </c>
      <c r="AL74" s="1" t="s">
        <v>67</v>
      </c>
      <c r="AM74" s="1" t="s">
        <v>292</v>
      </c>
      <c r="AN74" s="1" t="s">
        <v>48</v>
      </c>
      <c r="AO74" s="1" t="s">
        <v>125</v>
      </c>
      <c r="AP74" s="1" t="s">
        <v>48</v>
      </c>
      <c r="AQ74" s="1" t="s">
        <v>48</v>
      </c>
      <c r="AR74" s="1" t="s">
        <v>10610</v>
      </c>
    </row>
    <row r="75" spans="1:44" x14ac:dyDescent="0.45">
      <c r="A75" s="1" t="s">
        <v>762</v>
      </c>
      <c r="B75" s="1" t="s">
        <v>8777</v>
      </c>
      <c r="C75" s="1" t="s">
        <v>379</v>
      </c>
      <c r="D75" s="1" t="s">
        <v>52</v>
      </c>
      <c r="E75" s="1" t="s">
        <v>53</v>
      </c>
      <c r="F75" s="1" t="s">
        <v>8778</v>
      </c>
      <c r="G75" s="1" t="s">
        <v>58</v>
      </c>
      <c r="H75" s="1" t="s">
        <v>5782</v>
      </c>
      <c r="I75" s="1">
        <v>39</v>
      </c>
      <c r="J75" s="1">
        <v>100</v>
      </c>
      <c r="K75" s="1">
        <v>10</v>
      </c>
      <c r="L75" s="1">
        <v>95</v>
      </c>
      <c r="M75" s="1" t="s">
        <v>215</v>
      </c>
      <c r="N75" s="1" t="s">
        <v>158</v>
      </c>
      <c r="O75" s="1" t="s">
        <v>216</v>
      </c>
      <c r="P75" s="1" t="s">
        <v>382</v>
      </c>
      <c r="Q75" s="1" t="s">
        <v>383</v>
      </c>
      <c r="R75" s="1" t="s">
        <v>48</v>
      </c>
      <c r="S75" s="1" t="s">
        <v>384</v>
      </c>
      <c r="T75" s="1" t="s">
        <v>385</v>
      </c>
      <c r="U75" s="1" t="s">
        <v>436</v>
      </c>
      <c r="V75" s="1">
        <v>2021</v>
      </c>
      <c r="W75" s="1">
        <v>159</v>
      </c>
      <c r="X75" s="1" t="s">
        <v>48</v>
      </c>
      <c r="Y75" s="1" t="s">
        <v>48</v>
      </c>
      <c r="Z75" s="1" t="s">
        <v>48</v>
      </c>
      <c r="AA75" s="1" t="s">
        <v>48</v>
      </c>
      <c r="AB75" s="1" t="s">
        <v>48</v>
      </c>
      <c r="AC75" s="1" t="s">
        <v>48</v>
      </c>
      <c r="AD75" s="1" t="s">
        <v>48</v>
      </c>
      <c r="AE75" s="1">
        <v>107453</v>
      </c>
      <c r="AF75" s="1" t="s">
        <v>8779</v>
      </c>
      <c r="AG75" s="1" t="str">
        <f>HYPERLINK("http://dx.doi.org/10.1016/j.cie.2021.107453","http://dx.doi.org/10.1016/j.cie.2021.107453")</f>
        <v>http://dx.doi.org/10.1016/j.cie.2021.107453</v>
      </c>
      <c r="AH75" s="1" t="s">
        <v>48</v>
      </c>
      <c r="AI75" s="1" t="s">
        <v>10623</v>
      </c>
      <c r="AJ75" s="1">
        <v>20</v>
      </c>
      <c r="AK75" s="1" t="s">
        <v>388</v>
      </c>
      <c r="AL75" s="1" t="s">
        <v>67</v>
      </c>
      <c r="AM75" s="1" t="s">
        <v>389</v>
      </c>
      <c r="AN75" s="1" t="s">
        <v>48</v>
      </c>
      <c r="AO75" s="1" t="s">
        <v>48</v>
      </c>
      <c r="AP75" s="1" t="s">
        <v>48</v>
      </c>
      <c r="AQ75" s="1" t="s">
        <v>48</v>
      </c>
      <c r="AR75" s="1" t="s">
        <v>10610</v>
      </c>
    </row>
    <row r="76" spans="1:44" x14ac:dyDescent="0.45">
      <c r="A76" s="1" t="s">
        <v>1163</v>
      </c>
      <c r="B76" s="1" t="s">
        <v>8780</v>
      </c>
      <c r="C76" s="1" t="s">
        <v>8547</v>
      </c>
      <c r="D76" s="1" t="s">
        <v>52</v>
      </c>
      <c r="E76" s="1" t="s">
        <v>111</v>
      </c>
      <c r="F76" s="1" t="s">
        <v>1166</v>
      </c>
      <c r="G76" s="1" t="s">
        <v>58</v>
      </c>
      <c r="H76" s="1" t="s">
        <v>1167</v>
      </c>
      <c r="I76" s="1">
        <v>47</v>
      </c>
      <c r="J76" s="1">
        <v>6</v>
      </c>
      <c r="K76" s="1">
        <v>0</v>
      </c>
      <c r="L76" s="1">
        <v>13</v>
      </c>
      <c r="M76" s="1" t="s">
        <v>252</v>
      </c>
      <c r="N76" s="1" t="s">
        <v>253</v>
      </c>
      <c r="O76" s="1" t="s">
        <v>254</v>
      </c>
      <c r="P76" s="1" t="s">
        <v>8549</v>
      </c>
      <c r="Q76" s="1" t="s">
        <v>8550</v>
      </c>
      <c r="R76" s="1" t="s">
        <v>48</v>
      </c>
      <c r="S76" s="1" t="s">
        <v>8551</v>
      </c>
      <c r="T76" s="1" t="s">
        <v>8552</v>
      </c>
      <c r="U76" s="1" t="s">
        <v>8781</v>
      </c>
      <c r="V76" s="1">
        <v>2021</v>
      </c>
      <c r="W76" s="1" t="s">
        <v>48</v>
      </c>
      <c r="X76" s="1" t="s">
        <v>48</v>
      </c>
      <c r="Y76" s="1" t="s">
        <v>48</v>
      </c>
      <c r="Z76" s="1" t="s">
        <v>48</v>
      </c>
      <c r="AA76" s="1" t="s">
        <v>48</v>
      </c>
      <c r="AB76" s="1" t="s">
        <v>48</v>
      </c>
      <c r="AC76" s="1" t="s">
        <v>48</v>
      </c>
      <c r="AD76" s="1" t="s">
        <v>48</v>
      </c>
      <c r="AE76" s="1" t="s">
        <v>48</v>
      </c>
      <c r="AF76" s="1" t="s">
        <v>8782</v>
      </c>
      <c r="AG76" s="1" t="str">
        <f>HYPERLINK("http://dx.doi.org/10.1007/s12652-021-03192-y","http://dx.doi.org/10.1007/s12652-021-03192-y")</f>
        <v>http://dx.doi.org/10.1007/s12652-021-03192-y</v>
      </c>
      <c r="AH76" s="1" t="s">
        <v>48</v>
      </c>
      <c r="AI76" s="1" t="s">
        <v>10621</v>
      </c>
      <c r="AJ76" s="1">
        <v>25</v>
      </c>
      <c r="AK76" s="1" t="s">
        <v>8555</v>
      </c>
      <c r="AL76" s="1" t="s">
        <v>67</v>
      </c>
      <c r="AM76" s="1" t="s">
        <v>8556</v>
      </c>
      <c r="AN76" s="1" t="s">
        <v>48</v>
      </c>
      <c r="AO76" s="1" t="s">
        <v>48</v>
      </c>
      <c r="AP76" s="1" t="s">
        <v>48</v>
      </c>
      <c r="AQ76" s="1" t="s">
        <v>48</v>
      </c>
      <c r="AR76" s="1" t="s">
        <v>10610</v>
      </c>
    </row>
    <row r="77" spans="1:44" x14ac:dyDescent="0.45">
      <c r="A77" s="1" t="s">
        <v>8734</v>
      </c>
      <c r="B77" s="1" t="s">
        <v>8804</v>
      </c>
      <c r="C77" s="1" t="s">
        <v>711</v>
      </c>
      <c r="D77" s="1" t="s">
        <v>52</v>
      </c>
      <c r="E77" s="1" t="s">
        <v>53</v>
      </c>
      <c r="F77" s="1" t="s">
        <v>8805</v>
      </c>
      <c r="G77" s="1" t="s">
        <v>58</v>
      </c>
      <c r="H77" s="1" t="s">
        <v>8806</v>
      </c>
      <c r="I77" s="1">
        <v>84</v>
      </c>
      <c r="J77" s="1">
        <v>10</v>
      </c>
      <c r="K77" s="1">
        <v>3</v>
      </c>
      <c r="L77" s="1">
        <v>22</v>
      </c>
      <c r="M77" s="1" t="s">
        <v>503</v>
      </c>
      <c r="N77" s="1" t="s">
        <v>542</v>
      </c>
      <c r="O77" s="1" t="s">
        <v>543</v>
      </c>
      <c r="P77" s="1" t="s">
        <v>717</v>
      </c>
      <c r="Q77" s="1" t="s">
        <v>718</v>
      </c>
      <c r="R77" s="1" t="s">
        <v>48</v>
      </c>
      <c r="S77" s="1" t="s">
        <v>719</v>
      </c>
      <c r="T77" s="1" t="s">
        <v>720</v>
      </c>
      <c r="U77" s="1" t="s">
        <v>86</v>
      </c>
      <c r="V77" s="1">
        <v>2021</v>
      </c>
      <c r="W77" s="1">
        <v>23</v>
      </c>
      <c r="X77" s="1">
        <v>12</v>
      </c>
      <c r="Y77" s="1" t="s">
        <v>48</v>
      </c>
      <c r="Z77" s="1" t="s">
        <v>48</v>
      </c>
      <c r="AA77" s="1" t="s">
        <v>48</v>
      </c>
      <c r="AB77" s="1" t="s">
        <v>48</v>
      </c>
      <c r="AC77" s="1">
        <v>17788</v>
      </c>
      <c r="AD77" s="1">
        <v>17809</v>
      </c>
      <c r="AE77" s="1" t="s">
        <v>48</v>
      </c>
      <c r="AF77" s="1" t="s">
        <v>8807</v>
      </c>
      <c r="AG77" s="1" t="str">
        <f>HYPERLINK("http://dx.doi.org/10.1007/s10668-021-01412-1","http://dx.doi.org/10.1007/s10668-021-01412-1")</f>
        <v>http://dx.doi.org/10.1007/s10668-021-01412-1</v>
      </c>
      <c r="AH77" s="1" t="s">
        <v>48</v>
      </c>
      <c r="AI77" s="1" t="s">
        <v>10621</v>
      </c>
      <c r="AJ77" s="1">
        <v>22</v>
      </c>
      <c r="AK77" s="1" t="s">
        <v>722</v>
      </c>
      <c r="AL77" s="1" t="s">
        <v>67</v>
      </c>
      <c r="AM77" s="1" t="s">
        <v>723</v>
      </c>
      <c r="AN77" s="1" t="s">
        <v>48</v>
      </c>
      <c r="AO77" s="1" t="s">
        <v>48</v>
      </c>
      <c r="AP77" s="1" t="s">
        <v>48</v>
      </c>
      <c r="AQ77" s="1" t="s">
        <v>48</v>
      </c>
      <c r="AR77" s="1" t="s">
        <v>10610</v>
      </c>
    </row>
    <row r="78" spans="1:44" x14ac:dyDescent="0.45">
      <c r="A78" s="1" t="s">
        <v>8808</v>
      </c>
      <c r="B78" s="1" t="s">
        <v>8809</v>
      </c>
      <c r="C78" s="1" t="s">
        <v>8810</v>
      </c>
      <c r="D78" s="1" t="s">
        <v>52</v>
      </c>
      <c r="E78" s="1" t="s">
        <v>53</v>
      </c>
      <c r="F78" s="1" t="s">
        <v>8811</v>
      </c>
      <c r="G78" s="1" t="s">
        <v>58</v>
      </c>
      <c r="H78" s="1" t="s">
        <v>8812</v>
      </c>
      <c r="I78" s="1">
        <v>41</v>
      </c>
      <c r="J78" s="1">
        <v>1</v>
      </c>
      <c r="K78" s="1">
        <v>0</v>
      </c>
      <c r="L78" s="1">
        <v>17</v>
      </c>
      <c r="M78" s="1" t="s">
        <v>3597</v>
      </c>
      <c r="N78" s="1" t="s">
        <v>3598</v>
      </c>
      <c r="O78" s="1" t="s">
        <v>3599</v>
      </c>
      <c r="P78" s="1" t="s">
        <v>48</v>
      </c>
      <c r="Q78" s="1" t="s">
        <v>8813</v>
      </c>
      <c r="R78" s="1" t="s">
        <v>48</v>
      </c>
      <c r="S78" s="1" t="s">
        <v>8814</v>
      </c>
      <c r="T78" s="1" t="s">
        <v>8815</v>
      </c>
      <c r="U78" s="1" t="s">
        <v>386</v>
      </c>
      <c r="V78" s="1">
        <v>2021</v>
      </c>
      <c r="W78" s="1">
        <v>8</v>
      </c>
      <c r="X78" s="1">
        <v>1</v>
      </c>
      <c r="Y78" s="1" t="s">
        <v>48</v>
      </c>
      <c r="Z78" s="1" t="s">
        <v>48</v>
      </c>
      <c r="AA78" s="1" t="s">
        <v>48</v>
      </c>
      <c r="AB78" s="1" t="s">
        <v>48</v>
      </c>
      <c r="AC78" s="1" t="s">
        <v>48</v>
      </c>
      <c r="AD78" s="1" t="s">
        <v>48</v>
      </c>
      <c r="AE78" s="1">
        <v>15020</v>
      </c>
      <c r="AF78" s="1" t="s">
        <v>8816</v>
      </c>
      <c r="AG78" s="1" t="str">
        <f>HYPERLINK("http://dx.doi.org/10.1088/2053-1591/abd9f9","http://dx.doi.org/10.1088/2053-1591/abd9f9")</f>
        <v>http://dx.doi.org/10.1088/2053-1591/abd9f9</v>
      </c>
      <c r="AH78" s="1" t="s">
        <v>48</v>
      </c>
      <c r="AI78" s="1" t="s">
        <v>48</v>
      </c>
      <c r="AJ78" s="1">
        <v>11</v>
      </c>
      <c r="AK78" s="1" t="s">
        <v>1876</v>
      </c>
      <c r="AL78" s="1" t="s">
        <v>67</v>
      </c>
      <c r="AM78" s="1" t="s">
        <v>1877</v>
      </c>
      <c r="AN78" s="1" t="s">
        <v>48</v>
      </c>
      <c r="AO78" s="1" t="s">
        <v>125</v>
      </c>
      <c r="AP78" s="1" t="s">
        <v>48</v>
      </c>
      <c r="AQ78" s="1" t="s">
        <v>48</v>
      </c>
      <c r="AR78" s="1" t="s">
        <v>10610</v>
      </c>
    </row>
    <row r="79" spans="1:44" x14ac:dyDescent="0.45">
      <c r="A79" s="1" t="s">
        <v>8844</v>
      </c>
      <c r="B79" s="1" t="s">
        <v>8845</v>
      </c>
      <c r="C79" s="1" t="s">
        <v>2092</v>
      </c>
      <c r="D79" s="1" t="s">
        <v>52</v>
      </c>
      <c r="E79" s="1" t="s">
        <v>53</v>
      </c>
      <c r="F79" s="1" t="s">
        <v>8846</v>
      </c>
      <c r="G79" s="1" t="s">
        <v>58</v>
      </c>
      <c r="H79" s="1" t="s">
        <v>8847</v>
      </c>
      <c r="I79" s="1">
        <v>33</v>
      </c>
      <c r="J79" s="1">
        <v>11</v>
      </c>
      <c r="K79" s="1">
        <v>1</v>
      </c>
      <c r="L79" s="1">
        <v>14</v>
      </c>
      <c r="M79" s="1" t="s">
        <v>803</v>
      </c>
      <c r="N79" s="1" t="s">
        <v>239</v>
      </c>
      <c r="O79" s="1" t="s">
        <v>804</v>
      </c>
      <c r="P79" s="1" t="s">
        <v>2093</v>
      </c>
      <c r="Q79" s="1" t="s">
        <v>2094</v>
      </c>
      <c r="R79" s="1" t="s">
        <v>48</v>
      </c>
      <c r="S79" s="1" t="s">
        <v>2095</v>
      </c>
      <c r="T79" s="1" t="s">
        <v>2096</v>
      </c>
      <c r="U79" s="1" t="s">
        <v>436</v>
      </c>
      <c r="V79" s="1">
        <v>2021</v>
      </c>
      <c r="W79" s="1">
        <v>46</v>
      </c>
      <c r="X79" s="1">
        <v>3</v>
      </c>
      <c r="Y79" s="1" t="s">
        <v>48</v>
      </c>
      <c r="Z79" s="1" t="s">
        <v>48</v>
      </c>
      <c r="AA79" s="1" t="s">
        <v>48</v>
      </c>
      <c r="AB79" s="1" t="s">
        <v>48</v>
      </c>
      <c r="AC79" s="1" t="s">
        <v>48</v>
      </c>
      <c r="AD79" s="1" t="s">
        <v>48</v>
      </c>
      <c r="AE79" s="1">
        <v>176</v>
      </c>
      <c r="AF79" s="1" t="s">
        <v>8848</v>
      </c>
      <c r="AG79" s="1" t="str">
        <f>HYPERLINK("http://dx.doi.org/10.1007/s12046-021-01683-4","http://dx.doi.org/10.1007/s12046-021-01683-4")</f>
        <v>http://dx.doi.org/10.1007/s12046-021-01683-4</v>
      </c>
      <c r="AH79" s="1" t="s">
        <v>48</v>
      </c>
      <c r="AI79" s="1" t="s">
        <v>48</v>
      </c>
      <c r="AJ79" s="1">
        <v>14</v>
      </c>
      <c r="AK79" s="1" t="s">
        <v>1732</v>
      </c>
      <c r="AL79" s="1" t="s">
        <v>67</v>
      </c>
      <c r="AM79" s="1" t="s">
        <v>1733</v>
      </c>
      <c r="AN79" s="1" t="s">
        <v>48</v>
      </c>
      <c r="AO79" s="1" t="s">
        <v>48</v>
      </c>
      <c r="AP79" s="1" t="s">
        <v>48</v>
      </c>
      <c r="AQ79" s="1" t="s">
        <v>48</v>
      </c>
      <c r="AR79" s="1" t="s">
        <v>10610</v>
      </c>
    </row>
    <row r="80" spans="1:44" x14ac:dyDescent="0.45">
      <c r="A80" s="1" t="s">
        <v>127</v>
      </c>
      <c r="B80" s="1" t="s">
        <v>8849</v>
      </c>
      <c r="C80" s="1" t="s">
        <v>1030</v>
      </c>
      <c r="D80" s="1" t="s">
        <v>52</v>
      </c>
      <c r="E80" s="1" t="s">
        <v>53</v>
      </c>
      <c r="F80" s="1" t="s">
        <v>8850</v>
      </c>
      <c r="G80" s="1" t="s">
        <v>58</v>
      </c>
      <c r="H80" s="1" t="s">
        <v>8851</v>
      </c>
      <c r="I80" s="1">
        <v>48</v>
      </c>
      <c r="J80" s="1">
        <v>10</v>
      </c>
      <c r="K80" s="1">
        <v>0</v>
      </c>
      <c r="L80" s="1">
        <v>6</v>
      </c>
      <c r="M80" s="1" t="s">
        <v>252</v>
      </c>
      <c r="N80" s="1" t="s">
        <v>253</v>
      </c>
      <c r="O80" s="1" t="s">
        <v>254</v>
      </c>
      <c r="P80" s="1" t="s">
        <v>1036</v>
      </c>
      <c r="Q80" s="1" t="s">
        <v>1037</v>
      </c>
      <c r="R80" s="1" t="s">
        <v>48</v>
      </c>
      <c r="S80" s="1" t="s">
        <v>1038</v>
      </c>
      <c r="T80" s="1" t="s">
        <v>1039</v>
      </c>
      <c r="U80" s="1" t="s">
        <v>962</v>
      </c>
      <c r="V80" s="1">
        <v>2022</v>
      </c>
      <c r="W80" s="1">
        <v>68</v>
      </c>
      <c r="X80" s="1">
        <v>1</v>
      </c>
      <c r="Y80" s="1" t="s">
        <v>48</v>
      </c>
      <c r="Z80" s="1" t="s">
        <v>48</v>
      </c>
      <c r="AA80" s="1" t="s">
        <v>48</v>
      </c>
      <c r="AB80" s="1" t="s">
        <v>48</v>
      </c>
      <c r="AC80" s="1">
        <v>479</v>
      </c>
      <c r="AD80" s="1">
        <v>510</v>
      </c>
      <c r="AE80" s="1" t="s">
        <v>48</v>
      </c>
      <c r="AF80" s="1" t="s">
        <v>8852</v>
      </c>
      <c r="AG80" s="1" t="str">
        <f>HYPERLINK("http://dx.doi.org/10.1007/s12190-021-01539-4","http://dx.doi.org/10.1007/s12190-021-01539-4")</f>
        <v>http://dx.doi.org/10.1007/s12190-021-01539-4</v>
      </c>
      <c r="AH80" s="1" t="s">
        <v>48</v>
      </c>
      <c r="AI80" s="1" t="s">
        <v>10618</v>
      </c>
      <c r="AJ80" s="1">
        <v>32</v>
      </c>
      <c r="AK80" s="1" t="s">
        <v>1041</v>
      </c>
      <c r="AL80" s="1" t="s">
        <v>67</v>
      </c>
      <c r="AM80" s="1" t="s">
        <v>137</v>
      </c>
      <c r="AN80" s="1">
        <v>33821157</v>
      </c>
      <c r="AO80" s="1" t="s">
        <v>1016</v>
      </c>
      <c r="AP80" s="1" t="s">
        <v>48</v>
      </c>
      <c r="AQ80" s="1" t="s">
        <v>48</v>
      </c>
      <c r="AR80" s="1" t="s">
        <v>10610</v>
      </c>
    </row>
    <row r="81" spans="1:44" x14ac:dyDescent="0.45">
      <c r="A81" s="1" t="s">
        <v>946</v>
      </c>
      <c r="B81" s="1" t="s">
        <v>8853</v>
      </c>
      <c r="C81" s="1" t="s">
        <v>1464</v>
      </c>
      <c r="D81" s="1" t="s">
        <v>52</v>
      </c>
      <c r="E81" s="1" t="s">
        <v>53</v>
      </c>
      <c r="F81" s="1" t="s">
        <v>8854</v>
      </c>
      <c r="G81" s="1" t="s">
        <v>58</v>
      </c>
      <c r="H81" s="1" t="s">
        <v>8855</v>
      </c>
      <c r="I81" s="1">
        <v>83</v>
      </c>
      <c r="J81" s="1">
        <v>5</v>
      </c>
      <c r="K81" s="1">
        <v>1</v>
      </c>
      <c r="L81" s="1">
        <v>5</v>
      </c>
      <c r="M81" s="1" t="s">
        <v>1465</v>
      </c>
      <c r="N81" s="1" t="s">
        <v>361</v>
      </c>
      <c r="O81" s="1" t="s">
        <v>1466</v>
      </c>
      <c r="P81" s="1" t="s">
        <v>1467</v>
      </c>
      <c r="Q81" s="1" t="s">
        <v>1468</v>
      </c>
      <c r="R81" s="1" t="s">
        <v>48</v>
      </c>
      <c r="S81" s="1" t="s">
        <v>1469</v>
      </c>
      <c r="T81" s="1" t="s">
        <v>1470</v>
      </c>
      <c r="U81" s="1" t="s">
        <v>386</v>
      </c>
      <c r="V81" s="1">
        <v>2023</v>
      </c>
      <c r="W81" s="1">
        <v>20</v>
      </c>
      <c r="X81" s="1">
        <v>1</v>
      </c>
      <c r="Y81" s="1" t="s">
        <v>48</v>
      </c>
      <c r="Z81" s="1" t="s">
        <v>48</v>
      </c>
      <c r="AA81" s="1" t="s">
        <v>48</v>
      </c>
      <c r="AB81" s="1" t="s">
        <v>48</v>
      </c>
      <c r="AC81" s="1">
        <v>217</v>
      </c>
      <c r="AD81" s="1">
        <v>236</v>
      </c>
      <c r="AE81" s="1" t="s">
        <v>48</v>
      </c>
      <c r="AF81" s="1" t="s">
        <v>8856</v>
      </c>
      <c r="AG81" s="1" t="str">
        <f>HYPERLINK("http://dx.doi.org/10.1017/S1479591421000188","http://dx.doi.org/10.1017/S1479591421000188")</f>
        <v>http://dx.doi.org/10.1017/S1479591421000188</v>
      </c>
      <c r="AH81" s="1" t="s">
        <v>48</v>
      </c>
      <c r="AI81" s="1" t="s">
        <v>10613</v>
      </c>
      <c r="AJ81" s="1">
        <v>20</v>
      </c>
      <c r="AK81" s="1" t="s">
        <v>152</v>
      </c>
      <c r="AL81" s="1" t="s">
        <v>178</v>
      </c>
      <c r="AM81" s="1" t="s">
        <v>152</v>
      </c>
      <c r="AN81" s="1" t="s">
        <v>48</v>
      </c>
      <c r="AO81" s="1" t="s">
        <v>48</v>
      </c>
      <c r="AP81" s="1" t="s">
        <v>48</v>
      </c>
      <c r="AQ81" s="1" t="s">
        <v>48</v>
      </c>
      <c r="AR81" s="1" t="s">
        <v>10610</v>
      </c>
    </row>
    <row r="82" spans="1:44" x14ac:dyDescent="0.45">
      <c r="A82" s="1" t="s">
        <v>8857</v>
      </c>
      <c r="B82" s="1" t="s">
        <v>8858</v>
      </c>
      <c r="C82" s="1" t="s">
        <v>8859</v>
      </c>
      <c r="D82" s="1" t="s">
        <v>52</v>
      </c>
      <c r="E82" s="1" t="s">
        <v>53</v>
      </c>
      <c r="F82" s="1" t="s">
        <v>8860</v>
      </c>
      <c r="G82" s="1" t="s">
        <v>58</v>
      </c>
      <c r="H82" s="1" t="s">
        <v>8861</v>
      </c>
      <c r="I82" s="1">
        <v>36</v>
      </c>
      <c r="J82" s="1">
        <v>0</v>
      </c>
      <c r="K82" s="1">
        <v>1</v>
      </c>
      <c r="L82" s="1">
        <v>2</v>
      </c>
      <c r="M82" s="1" t="s">
        <v>8862</v>
      </c>
      <c r="N82" s="1" t="s">
        <v>239</v>
      </c>
      <c r="O82" s="1" t="s">
        <v>8863</v>
      </c>
      <c r="P82" s="1" t="s">
        <v>8864</v>
      </c>
      <c r="Q82" s="1" t="s">
        <v>8865</v>
      </c>
      <c r="R82" s="1" t="s">
        <v>48</v>
      </c>
      <c r="S82" s="1" t="s">
        <v>8866</v>
      </c>
      <c r="T82" s="1" t="s">
        <v>8867</v>
      </c>
      <c r="U82" s="1" t="s">
        <v>8868</v>
      </c>
      <c r="V82" s="1">
        <v>2021</v>
      </c>
      <c r="W82" s="1">
        <v>26</v>
      </c>
      <c r="X82" s="1">
        <v>1</v>
      </c>
      <c r="Y82" s="1" t="s">
        <v>48</v>
      </c>
      <c r="Z82" s="1" t="s">
        <v>48</v>
      </c>
      <c r="AA82" s="1" t="s">
        <v>48</v>
      </c>
      <c r="AB82" s="1" t="s">
        <v>48</v>
      </c>
      <c r="AC82" s="1">
        <v>4</v>
      </c>
      <c r="AD82" s="1">
        <v>11</v>
      </c>
      <c r="AE82" s="1" t="s">
        <v>48</v>
      </c>
      <c r="AF82" s="1" t="s">
        <v>8869</v>
      </c>
      <c r="AG82" s="1" t="str">
        <f>HYPERLINK("http://dx.doi.org/10.5958/0973-9343.2021.00001.6","http://dx.doi.org/10.5958/0973-9343.2021.00001.6")</f>
        <v>http://dx.doi.org/10.5958/0973-9343.2021.00001.6</v>
      </c>
      <c r="AH82" s="1" t="s">
        <v>48</v>
      </c>
      <c r="AI82" s="1" t="s">
        <v>48</v>
      </c>
      <c r="AJ82" s="1">
        <v>8</v>
      </c>
      <c r="AK82" s="1" t="s">
        <v>562</v>
      </c>
      <c r="AL82" s="1" t="s">
        <v>124</v>
      </c>
      <c r="AM82" s="1" t="s">
        <v>510</v>
      </c>
      <c r="AN82" s="1" t="s">
        <v>48</v>
      </c>
      <c r="AO82" s="1" t="s">
        <v>48</v>
      </c>
      <c r="AP82" s="1" t="s">
        <v>48</v>
      </c>
      <c r="AQ82" s="1" t="s">
        <v>48</v>
      </c>
      <c r="AR82" s="1" t="s">
        <v>10610</v>
      </c>
    </row>
    <row r="83" spans="1:44" x14ac:dyDescent="0.45">
      <c r="A83" s="1" t="s">
        <v>355</v>
      </c>
      <c r="B83" s="1" t="s">
        <v>8870</v>
      </c>
      <c r="C83" s="1" t="s">
        <v>3983</v>
      </c>
      <c r="D83" s="1" t="s">
        <v>52</v>
      </c>
      <c r="E83" s="1" t="s">
        <v>53</v>
      </c>
      <c r="F83" s="1" t="s">
        <v>1215</v>
      </c>
      <c r="G83" s="1" t="s">
        <v>58</v>
      </c>
      <c r="H83" s="1" t="s">
        <v>1216</v>
      </c>
      <c r="I83" s="1">
        <v>28</v>
      </c>
      <c r="J83" s="1">
        <v>1</v>
      </c>
      <c r="K83" s="1">
        <v>1</v>
      </c>
      <c r="L83" s="1">
        <v>3</v>
      </c>
      <c r="M83" s="1" t="s">
        <v>3985</v>
      </c>
      <c r="N83" s="1" t="s">
        <v>3986</v>
      </c>
      <c r="O83" s="1" t="s">
        <v>3987</v>
      </c>
      <c r="P83" s="1" t="s">
        <v>3988</v>
      </c>
      <c r="Q83" s="1" t="s">
        <v>3989</v>
      </c>
      <c r="R83" s="1" t="s">
        <v>48</v>
      </c>
      <c r="S83" s="1" t="s">
        <v>3990</v>
      </c>
      <c r="T83" s="1" t="s">
        <v>3991</v>
      </c>
      <c r="U83" s="1" t="s">
        <v>48</v>
      </c>
      <c r="V83" s="1">
        <v>2021</v>
      </c>
      <c r="W83" s="1">
        <v>23</v>
      </c>
      <c r="X83" s="1">
        <v>1</v>
      </c>
      <c r="Y83" s="1" t="s">
        <v>48</v>
      </c>
      <c r="Z83" s="1" t="s">
        <v>48</v>
      </c>
      <c r="AA83" s="1" t="s">
        <v>48</v>
      </c>
      <c r="AB83" s="1" t="s">
        <v>48</v>
      </c>
      <c r="AC83" s="1">
        <v>111</v>
      </c>
      <c r="AD83" s="1">
        <v>137</v>
      </c>
      <c r="AE83" s="1" t="s">
        <v>48</v>
      </c>
      <c r="AF83" s="1" t="s">
        <v>8871</v>
      </c>
      <c r="AG83" s="1" t="str">
        <f>HYPERLINK("http://dx.doi.org/10.1504/IJICBM.2021.115406","http://dx.doi.org/10.1504/IJICBM.2021.115406")</f>
        <v>http://dx.doi.org/10.1504/IJICBM.2021.115406</v>
      </c>
      <c r="AH83" s="1" t="s">
        <v>48</v>
      </c>
      <c r="AI83" s="1" t="s">
        <v>48</v>
      </c>
      <c r="AJ83" s="1">
        <v>27</v>
      </c>
      <c r="AK83" s="1" t="s">
        <v>1630</v>
      </c>
      <c r="AL83" s="1" t="s">
        <v>124</v>
      </c>
      <c r="AM83" s="1" t="s">
        <v>510</v>
      </c>
      <c r="AN83" s="1" t="s">
        <v>48</v>
      </c>
      <c r="AO83" s="1" t="s">
        <v>48</v>
      </c>
      <c r="AP83" s="1" t="s">
        <v>48</v>
      </c>
      <c r="AQ83" s="1" t="s">
        <v>48</v>
      </c>
      <c r="AR83" s="1" t="s">
        <v>10610</v>
      </c>
    </row>
    <row r="84" spans="1:44" x14ac:dyDescent="0.45">
      <c r="A84" s="1" t="s">
        <v>8872</v>
      </c>
      <c r="B84" s="1" t="s">
        <v>8873</v>
      </c>
      <c r="C84" s="1" t="s">
        <v>8874</v>
      </c>
      <c r="D84" s="1" t="s">
        <v>52</v>
      </c>
      <c r="E84" s="1" t="s">
        <v>1802</v>
      </c>
      <c r="F84" s="1" t="s">
        <v>8875</v>
      </c>
      <c r="G84" s="1" t="s">
        <v>58</v>
      </c>
      <c r="H84" s="1" t="s">
        <v>8876</v>
      </c>
      <c r="I84" s="1">
        <v>0</v>
      </c>
      <c r="J84" s="1">
        <v>0</v>
      </c>
      <c r="K84" s="1">
        <v>0</v>
      </c>
      <c r="L84" s="1">
        <v>0</v>
      </c>
      <c r="M84" s="1" t="s">
        <v>1805</v>
      </c>
      <c r="N84" s="1" t="s">
        <v>146</v>
      </c>
      <c r="O84" s="1" t="s">
        <v>1806</v>
      </c>
      <c r="P84" s="1" t="s">
        <v>8877</v>
      </c>
      <c r="Q84" s="1" t="s">
        <v>8878</v>
      </c>
      <c r="R84" s="1" t="s">
        <v>8879</v>
      </c>
      <c r="S84" s="1" t="s">
        <v>8880</v>
      </c>
      <c r="T84" s="1" t="s">
        <v>48</v>
      </c>
      <c r="U84" s="1" t="s">
        <v>48</v>
      </c>
      <c r="V84" s="1">
        <v>2021</v>
      </c>
      <c r="W84" s="1" t="s">
        <v>48</v>
      </c>
      <c r="X84" s="1" t="s">
        <v>48</v>
      </c>
      <c r="Y84" s="1" t="s">
        <v>48</v>
      </c>
      <c r="Z84" s="1" t="s">
        <v>48</v>
      </c>
      <c r="AA84" s="1" t="s">
        <v>48</v>
      </c>
      <c r="AB84" s="1" t="s">
        <v>48</v>
      </c>
      <c r="AC84" s="1" t="s">
        <v>8881</v>
      </c>
      <c r="AD84" s="1" t="s">
        <v>8881</v>
      </c>
      <c r="AE84" s="1" t="s">
        <v>48</v>
      </c>
      <c r="AF84" s="1" t="s">
        <v>48</v>
      </c>
      <c r="AG84" s="1" t="s">
        <v>48</v>
      </c>
      <c r="AH84" s="1" t="s">
        <v>8882</v>
      </c>
      <c r="AI84" s="1" t="s">
        <v>48</v>
      </c>
      <c r="AJ84" s="1">
        <v>1</v>
      </c>
      <c r="AK84" s="1" t="s">
        <v>8883</v>
      </c>
      <c r="AL84" s="1" t="s">
        <v>592</v>
      </c>
      <c r="AM84" s="1" t="s">
        <v>8884</v>
      </c>
      <c r="AN84" s="1" t="s">
        <v>48</v>
      </c>
      <c r="AO84" s="1" t="s">
        <v>48</v>
      </c>
      <c r="AP84" s="1" t="s">
        <v>48</v>
      </c>
      <c r="AQ84" s="1" t="s">
        <v>48</v>
      </c>
      <c r="AR84" s="1" t="s">
        <v>10610</v>
      </c>
    </row>
    <row r="85" spans="1:44" x14ac:dyDescent="0.45">
      <c r="A85" s="1" t="s">
        <v>8872</v>
      </c>
      <c r="B85" s="1" t="s">
        <v>8885</v>
      </c>
      <c r="C85" s="1" t="s">
        <v>8874</v>
      </c>
      <c r="D85" s="1" t="s">
        <v>52</v>
      </c>
      <c r="E85" s="1" t="s">
        <v>585</v>
      </c>
      <c r="F85" s="1" t="s">
        <v>8886</v>
      </c>
      <c r="G85" s="1" t="s">
        <v>58</v>
      </c>
      <c r="H85" s="1" t="s">
        <v>8876</v>
      </c>
      <c r="I85" s="1">
        <v>17</v>
      </c>
      <c r="J85" s="1">
        <v>0</v>
      </c>
      <c r="K85" s="1">
        <v>1</v>
      </c>
      <c r="L85" s="1">
        <v>1</v>
      </c>
      <c r="M85" s="1" t="s">
        <v>1805</v>
      </c>
      <c r="N85" s="1" t="s">
        <v>146</v>
      </c>
      <c r="O85" s="1" t="s">
        <v>1806</v>
      </c>
      <c r="P85" s="1" t="s">
        <v>8877</v>
      </c>
      <c r="Q85" s="1" t="s">
        <v>8878</v>
      </c>
      <c r="R85" s="1" t="s">
        <v>8879</v>
      </c>
      <c r="S85" s="1" t="s">
        <v>8880</v>
      </c>
      <c r="T85" s="1" t="s">
        <v>48</v>
      </c>
      <c r="U85" s="1" t="s">
        <v>48</v>
      </c>
      <c r="V85" s="1">
        <v>2021</v>
      </c>
      <c r="W85" s="1" t="s">
        <v>48</v>
      </c>
      <c r="X85" s="1" t="s">
        <v>48</v>
      </c>
      <c r="Y85" s="1" t="s">
        <v>48</v>
      </c>
      <c r="Z85" s="1" t="s">
        <v>48</v>
      </c>
      <c r="AA85" s="1" t="s">
        <v>48</v>
      </c>
      <c r="AB85" s="1" t="s">
        <v>48</v>
      </c>
      <c r="AC85" s="1">
        <v>83</v>
      </c>
      <c r="AD85" s="1">
        <v>93</v>
      </c>
      <c r="AE85" s="1" t="s">
        <v>48</v>
      </c>
      <c r="AF85" s="1" t="s">
        <v>48</v>
      </c>
      <c r="AG85" s="1" t="s">
        <v>48</v>
      </c>
      <c r="AH85" s="1" t="s">
        <v>8882</v>
      </c>
      <c r="AI85" s="1" t="s">
        <v>48</v>
      </c>
      <c r="AJ85" s="1">
        <v>11</v>
      </c>
      <c r="AK85" s="1" t="s">
        <v>8883</v>
      </c>
      <c r="AL85" s="1" t="s">
        <v>592</v>
      </c>
      <c r="AM85" s="1" t="s">
        <v>8884</v>
      </c>
      <c r="AN85" s="1" t="s">
        <v>48</v>
      </c>
      <c r="AO85" s="1" t="s">
        <v>48</v>
      </c>
      <c r="AP85" s="1" t="s">
        <v>48</v>
      </c>
      <c r="AQ85" s="1" t="s">
        <v>48</v>
      </c>
      <c r="AR85" s="1" t="s">
        <v>10610</v>
      </c>
    </row>
    <row r="86" spans="1:44" x14ac:dyDescent="0.45">
      <c r="A86" s="1" t="s">
        <v>8901</v>
      </c>
      <c r="B86" s="1" t="s">
        <v>8902</v>
      </c>
      <c r="C86" s="1" t="s">
        <v>8903</v>
      </c>
      <c r="D86" s="1" t="s">
        <v>52</v>
      </c>
      <c r="E86" s="1" t="s">
        <v>53</v>
      </c>
      <c r="F86" s="1" t="s">
        <v>8904</v>
      </c>
      <c r="G86" s="1" t="s">
        <v>58</v>
      </c>
      <c r="H86" s="1" t="s">
        <v>8905</v>
      </c>
      <c r="I86" s="1">
        <v>15</v>
      </c>
      <c r="J86" s="1">
        <v>2</v>
      </c>
      <c r="K86" s="1">
        <v>0</v>
      </c>
      <c r="L86" s="1">
        <v>0</v>
      </c>
      <c r="M86" s="1" t="s">
        <v>748</v>
      </c>
      <c r="N86" s="1" t="s">
        <v>749</v>
      </c>
      <c r="O86" s="1" t="s">
        <v>750</v>
      </c>
      <c r="P86" s="1" t="s">
        <v>8906</v>
      </c>
      <c r="Q86" s="1" t="s">
        <v>8907</v>
      </c>
      <c r="R86" s="1" t="s">
        <v>48</v>
      </c>
      <c r="S86" s="1" t="s">
        <v>8908</v>
      </c>
      <c r="T86" s="1" t="s">
        <v>8909</v>
      </c>
      <c r="U86" s="1" t="s">
        <v>436</v>
      </c>
      <c r="V86" s="1">
        <v>2021</v>
      </c>
      <c r="W86" s="1">
        <v>21</v>
      </c>
      <c r="X86" s="1">
        <v>3</v>
      </c>
      <c r="Y86" s="1" t="s">
        <v>48</v>
      </c>
      <c r="Z86" s="1" t="s">
        <v>48</v>
      </c>
      <c r="AA86" s="1" t="s">
        <v>48</v>
      </c>
      <c r="AB86" s="1" t="s">
        <v>48</v>
      </c>
      <c r="AC86" s="1" t="s">
        <v>48</v>
      </c>
      <c r="AD86" s="1" t="s">
        <v>48</v>
      </c>
      <c r="AE86" s="1">
        <v>2150017</v>
      </c>
      <c r="AF86" s="1" t="s">
        <v>8910</v>
      </c>
      <c r="AG86" s="1" t="str">
        <f>HYPERLINK("http://dx.doi.org/10.1142/S0219265921500171","http://dx.doi.org/10.1142/S0219265921500171")</f>
        <v>http://dx.doi.org/10.1142/S0219265921500171</v>
      </c>
      <c r="AH86" s="1" t="s">
        <v>48</v>
      </c>
      <c r="AI86" s="1" t="s">
        <v>48</v>
      </c>
      <c r="AJ86" s="1">
        <v>21</v>
      </c>
      <c r="AK86" s="1" t="s">
        <v>8911</v>
      </c>
      <c r="AL86" s="1" t="s">
        <v>124</v>
      </c>
      <c r="AM86" s="1" t="s">
        <v>292</v>
      </c>
      <c r="AN86" s="1" t="s">
        <v>48</v>
      </c>
      <c r="AO86" s="1" t="s">
        <v>48</v>
      </c>
      <c r="AP86" s="1" t="s">
        <v>48</v>
      </c>
      <c r="AQ86" s="1" t="s">
        <v>48</v>
      </c>
      <c r="AR86" s="1" t="s">
        <v>10610</v>
      </c>
    </row>
    <row r="87" spans="1:44" x14ac:dyDescent="0.45">
      <c r="A87" s="1" t="s">
        <v>8872</v>
      </c>
      <c r="B87" s="1" t="s">
        <v>8912</v>
      </c>
      <c r="C87" s="1" t="s">
        <v>8874</v>
      </c>
      <c r="D87" s="1" t="s">
        <v>52</v>
      </c>
      <c r="E87" s="1" t="s">
        <v>585</v>
      </c>
      <c r="F87" s="1" t="s">
        <v>8886</v>
      </c>
      <c r="G87" s="1" t="s">
        <v>58</v>
      </c>
      <c r="H87" s="1" t="s">
        <v>8876</v>
      </c>
      <c r="I87" s="1">
        <v>6</v>
      </c>
      <c r="J87" s="1">
        <v>0</v>
      </c>
      <c r="K87" s="1">
        <v>1</v>
      </c>
      <c r="L87" s="1">
        <v>1</v>
      </c>
      <c r="M87" s="1" t="s">
        <v>1805</v>
      </c>
      <c r="N87" s="1" t="s">
        <v>146</v>
      </c>
      <c r="O87" s="1" t="s">
        <v>1806</v>
      </c>
      <c r="P87" s="1" t="s">
        <v>8877</v>
      </c>
      <c r="Q87" s="1" t="s">
        <v>8878</v>
      </c>
      <c r="R87" s="1" t="s">
        <v>8879</v>
      </c>
      <c r="S87" s="1" t="s">
        <v>8880</v>
      </c>
      <c r="T87" s="1" t="s">
        <v>48</v>
      </c>
      <c r="U87" s="1" t="s">
        <v>48</v>
      </c>
      <c r="V87" s="1">
        <v>2021</v>
      </c>
      <c r="W87" s="1" t="s">
        <v>48</v>
      </c>
      <c r="X87" s="1" t="s">
        <v>48</v>
      </c>
      <c r="Y87" s="1" t="s">
        <v>48</v>
      </c>
      <c r="Z87" s="1" t="s">
        <v>48</v>
      </c>
      <c r="AA87" s="1" t="s">
        <v>48</v>
      </c>
      <c r="AB87" s="1" t="s">
        <v>48</v>
      </c>
      <c r="AC87" s="1">
        <v>38</v>
      </c>
      <c r="AD87" s="1">
        <v>51</v>
      </c>
      <c r="AE87" s="1" t="s">
        <v>48</v>
      </c>
      <c r="AF87" s="1" t="s">
        <v>48</v>
      </c>
      <c r="AG87" s="1" t="s">
        <v>48</v>
      </c>
      <c r="AH87" s="1" t="s">
        <v>8882</v>
      </c>
      <c r="AI87" s="1" t="s">
        <v>48</v>
      </c>
      <c r="AJ87" s="1">
        <v>14</v>
      </c>
      <c r="AK87" s="1" t="s">
        <v>8883</v>
      </c>
      <c r="AL87" s="1" t="s">
        <v>592</v>
      </c>
      <c r="AM87" s="1" t="s">
        <v>8884</v>
      </c>
      <c r="AN87" s="1" t="s">
        <v>48</v>
      </c>
      <c r="AO87" s="1" t="s">
        <v>48</v>
      </c>
      <c r="AP87" s="1" t="s">
        <v>48</v>
      </c>
      <c r="AQ87" s="1" t="s">
        <v>48</v>
      </c>
      <c r="AR87" s="1" t="s">
        <v>10610</v>
      </c>
    </row>
    <row r="88" spans="1:44" x14ac:dyDescent="0.45">
      <c r="A88" s="1" t="s">
        <v>8896</v>
      </c>
      <c r="B88" s="1" t="s">
        <v>8897</v>
      </c>
      <c r="C88" s="1" t="s">
        <v>2328</v>
      </c>
      <c r="D88" s="1" t="s">
        <v>52</v>
      </c>
      <c r="E88" s="1" t="s">
        <v>8898</v>
      </c>
      <c r="F88" s="1" t="s">
        <v>8899</v>
      </c>
      <c r="G88" s="1" t="s">
        <v>58</v>
      </c>
      <c r="H88" s="1" t="s">
        <v>5043</v>
      </c>
      <c r="I88" s="1">
        <v>65</v>
      </c>
      <c r="J88" s="1">
        <v>13</v>
      </c>
      <c r="K88" s="1">
        <v>5</v>
      </c>
      <c r="L88" s="1">
        <v>47</v>
      </c>
      <c r="M88" s="1" t="s">
        <v>2331</v>
      </c>
      <c r="N88" s="1" t="s">
        <v>504</v>
      </c>
      <c r="O88" s="1" t="s">
        <v>2332</v>
      </c>
      <c r="P88" s="1" t="s">
        <v>2333</v>
      </c>
      <c r="Q88" s="1" t="s">
        <v>2334</v>
      </c>
      <c r="R88" s="1" t="s">
        <v>48</v>
      </c>
      <c r="S88" s="1" t="s">
        <v>2335</v>
      </c>
      <c r="T88" s="1" t="s">
        <v>2336</v>
      </c>
      <c r="U88" s="1" t="s">
        <v>320</v>
      </c>
      <c r="V88" s="1">
        <v>2021</v>
      </c>
      <c r="W88" s="1">
        <v>31</v>
      </c>
      <c r="X88" s="1">
        <v>2</v>
      </c>
      <c r="Y88" s="1" t="s">
        <v>48</v>
      </c>
      <c r="Z88" s="1" t="s">
        <v>48</v>
      </c>
      <c r="AA88" s="1" t="s">
        <v>48</v>
      </c>
      <c r="AB88" s="1" t="s">
        <v>48</v>
      </c>
      <c r="AC88" s="1">
        <v>315</v>
      </c>
      <c r="AD88" s="1">
        <v>325</v>
      </c>
      <c r="AE88" s="1" t="s">
        <v>48</v>
      </c>
      <c r="AF88" s="1" t="s">
        <v>8900</v>
      </c>
      <c r="AG88" s="1" t="str">
        <f>HYPERLINK("http://dx.doi.org/10.1007/s10895-020-02664-2","http://dx.doi.org/10.1007/s10895-020-02664-2")</f>
        <v>http://dx.doi.org/10.1007/s10895-020-02664-2</v>
      </c>
      <c r="AH88" s="1" t="s">
        <v>48</v>
      </c>
      <c r="AI88" s="1" t="s">
        <v>10619</v>
      </c>
      <c r="AJ88" s="1">
        <v>11</v>
      </c>
      <c r="AK88" s="1" t="s">
        <v>2338</v>
      </c>
      <c r="AL88" s="1" t="s">
        <v>67</v>
      </c>
      <c r="AM88" s="1" t="s">
        <v>842</v>
      </c>
      <c r="AN88" s="1">
        <v>33405019</v>
      </c>
      <c r="AO88" s="1" t="s">
        <v>48</v>
      </c>
      <c r="AP88" s="1" t="s">
        <v>48</v>
      </c>
      <c r="AQ88" s="1" t="s">
        <v>48</v>
      </c>
      <c r="AR88" s="1" t="s">
        <v>10610</v>
      </c>
    </row>
    <row r="89" spans="1:44" x14ac:dyDescent="0.45">
      <c r="A89" s="1" t="s">
        <v>8887</v>
      </c>
      <c r="B89" s="1" t="s">
        <v>8888</v>
      </c>
      <c r="C89" s="1" t="s">
        <v>4455</v>
      </c>
      <c r="D89" s="1" t="s">
        <v>52</v>
      </c>
      <c r="E89" s="1" t="s">
        <v>53</v>
      </c>
      <c r="F89" s="1" t="s">
        <v>8889</v>
      </c>
      <c r="G89" s="1" t="s">
        <v>58</v>
      </c>
      <c r="H89" s="1" t="s">
        <v>8890</v>
      </c>
      <c r="I89" s="1">
        <v>26</v>
      </c>
      <c r="J89" s="1">
        <v>1</v>
      </c>
      <c r="K89" s="1">
        <v>0</v>
      </c>
      <c r="L89" s="1">
        <v>2</v>
      </c>
      <c r="M89" s="1" t="s">
        <v>4459</v>
      </c>
      <c r="N89" s="1" t="s">
        <v>4460</v>
      </c>
      <c r="O89" s="1" t="s">
        <v>4461</v>
      </c>
      <c r="P89" s="1" t="s">
        <v>4462</v>
      </c>
      <c r="Q89" s="1" t="s">
        <v>4463</v>
      </c>
      <c r="R89" s="1" t="s">
        <v>48</v>
      </c>
      <c r="S89" s="1" t="s">
        <v>4455</v>
      </c>
      <c r="T89" s="1" t="s">
        <v>4464</v>
      </c>
      <c r="U89" s="1" t="s">
        <v>4545</v>
      </c>
      <c r="V89" s="1">
        <v>2021</v>
      </c>
      <c r="W89" s="1">
        <v>4952</v>
      </c>
      <c r="X89" s="1">
        <v>3</v>
      </c>
      <c r="Y89" s="1" t="s">
        <v>48</v>
      </c>
      <c r="Z89" s="1" t="s">
        <v>48</v>
      </c>
      <c r="AA89" s="1" t="s">
        <v>48</v>
      </c>
      <c r="AB89" s="1" t="s">
        <v>48</v>
      </c>
      <c r="AC89" s="1">
        <v>540</v>
      </c>
      <c r="AD89" s="1">
        <v>550</v>
      </c>
      <c r="AE89" s="1" t="s">
        <v>48</v>
      </c>
      <c r="AF89" s="1" t="s">
        <v>8891</v>
      </c>
      <c r="AG89" s="1" t="str">
        <f>HYPERLINK("http://dx.doi.org/10.11646/zootaxa.4952.3.6","http://dx.doi.org/10.11646/zootaxa.4952.3.6")</f>
        <v>http://dx.doi.org/10.11646/zootaxa.4952.3.6</v>
      </c>
      <c r="AH89" s="1" t="s">
        <v>48</v>
      </c>
      <c r="AI89" s="1" t="s">
        <v>48</v>
      </c>
      <c r="AJ89" s="1">
        <v>11</v>
      </c>
      <c r="AK89" s="1" t="s">
        <v>4466</v>
      </c>
      <c r="AL89" s="1" t="s">
        <v>67</v>
      </c>
      <c r="AM89" s="1" t="s">
        <v>4466</v>
      </c>
      <c r="AN89" s="1">
        <v>33903358</v>
      </c>
      <c r="AO89" s="1" t="s">
        <v>48</v>
      </c>
      <c r="AP89" s="1" t="s">
        <v>48</v>
      </c>
      <c r="AQ89" s="1" t="s">
        <v>48</v>
      </c>
      <c r="AR89" s="1" t="s">
        <v>10610</v>
      </c>
    </row>
    <row r="90" spans="1:44" x14ac:dyDescent="0.45">
      <c r="A90" s="1" t="s">
        <v>8892</v>
      </c>
      <c r="B90" s="1" t="s">
        <v>8893</v>
      </c>
      <c r="C90" s="1" t="s">
        <v>8547</v>
      </c>
      <c r="D90" s="1" t="s">
        <v>52</v>
      </c>
      <c r="E90" s="1" t="s">
        <v>53</v>
      </c>
      <c r="F90" s="1" t="s">
        <v>8894</v>
      </c>
      <c r="G90" s="1" t="s">
        <v>58</v>
      </c>
      <c r="H90" s="1" t="s">
        <v>1045</v>
      </c>
      <c r="I90" s="1">
        <v>35</v>
      </c>
      <c r="J90" s="1">
        <v>7</v>
      </c>
      <c r="K90" s="1">
        <v>0</v>
      </c>
      <c r="L90" s="1">
        <v>7</v>
      </c>
      <c r="M90" s="1" t="s">
        <v>252</v>
      </c>
      <c r="N90" s="1" t="s">
        <v>253</v>
      </c>
      <c r="O90" s="1" t="s">
        <v>254</v>
      </c>
      <c r="P90" s="1" t="s">
        <v>8549</v>
      </c>
      <c r="Q90" s="1" t="s">
        <v>8550</v>
      </c>
      <c r="R90" s="1" t="s">
        <v>48</v>
      </c>
      <c r="S90" s="1" t="s">
        <v>8551</v>
      </c>
      <c r="T90" s="1" t="s">
        <v>8552</v>
      </c>
      <c r="U90" s="1" t="s">
        <v>86</v>
      </c>
      <c r="V90" s="1">
        <v>2021</v>
      </c>
      <c r="W90" s="1">
        <v>12</v>
      </c>
      <c r="X90" s="1">
        <v>12</v>
      </c>
      <c r="Y90" s="1" t="s">
        <v>48</v>
      </c>
      <c r="Z90" s="1" t="s">
        <v>48</v>
      </c>
      <c r="AA90" s="1" t="s">
        <v>48</v>
      </c>
      <c r="AB90" s="1" t="s">
        <v>48</v>
      </c>
      <c r="AC90" s="1">
        <v>10741</v>
      </c>
      <c r="AD90" s="1">
        <v>10756</v>
      </c>
      <c r="AE90" s="1" t="s">
        <v>48</v>
      </c>
      <c r="AF90" s="1" t="s">
        <v>8895</v>
      </c>
      <c r="AG90" s="1" t="str">
        <f>HYPERLINK("http://dx.doi.org/10.1007/s12652-020-02887-y","http://dx.doi.org/10.1007/s12652-020-02887-y")</f>
        <v>http://dx.doi.org/10.1007/s12652-020-02887-y</v>
      </c>
      <c r="AH90" s="1" t="s">
        <v>48</v>
      </c>
      <c r="AI90" s="1" t="s">
        <v>10619</v>
      </c>
      <c r="AJ90" s="1">
        <v>16</v>
      </c>
      <c r="AK90" s="1" t="s">
        <v>8555</v>
      </c>
      <c r="AL90" s="1" t="s">
        <v>67</v>
      </c>
      <c r="AM90" s="1" t="s">
        <v>8556</v>
      </c>
      <c r="AN90" s="1" t="s">
        <v>48</v>
      </c>
      <c r="AO90" s="1" t="s">
        <v>48</v>
      </c>
      <c r="AP90" s="1" t="s">
        <v>48</v>
      </c>
      <c r="AQ90" s="1" t="s">
        <v>48</v>
      </c>
      <c r="AR90" s="1" t="s">
        <v>10610</v>
      </c>
    </row>
    <row r="91" spans="1:44" x14ac:dyDescent="0.45">
      <c r="A91" s="1" t="s">
        <v>8892</v>
      </c>
      <c r="B91" s="1" t="s">
        <v>8913</v>
      </c>
      <c r="C91" s="1" t="s">
        <v>1931</v>
      </c>
      <c r="D91" s="1" t="s">
        <v>52</v>
      </c>
      <c r="E91" s="1" t="s">
        <v>53</v>
      </c>
      <c r="F91" s="1" t="s">
        <v>8894</v>
      </c>
      <c r="G91" s="1" t="s">
        <v>58</v>
      </c>
      <c r="H91" s="1" t="s">
        <v>1045</v>
      </c>
      <c r="I91" s="1">
        <v>51</v>
      </c>
      <c r="J91" s="1">
        <v>6</v>
      </c>
      <c r="K91" s="1">
        <v>2</v>
      </c>
      <c r="L91" s="1">
        <v>16</v>
      </c>
      <c r="M91" s="1" t="s">
        <v>252</v>
      </c>
      <c r="N91" s="1" t="s">
        <v>253</v>
      </c>
      <c r="O91" s="1" t="s">
        <v>254</v>
      </c>
      <c r="P91" s="1" t="s">
        <v>1932</v>
      </c>
      <c r="Q91" s="1" t="s">
        <v>1933</v>
      </c>
      <c r="R91" s="1" t="s">
        <v>48</v>
      </c>
      <c r="S91" s="1" t="s">
        <v>1934</v>
      </c>
      <c r="T91" s="1" t="s">
        <v>1935</v>
      </c>
      <c r="U91" s="1" t="s">
        <v>962</v>
      </c>
      <c r="V91" s="1">
        <v>2022</v>
      </c>
      <c r="W91" s="1">
        <v>8</v>
      </c>
      <c r="X91" s="1">
        <v>1</v>
      </c>
      <c r="Y91" s="1" t="s">
        <v>48</v>
      </c>
      <c r="Z91" s="1" t="s">
        <v>48</v>
      </c>
      <c r="AA91" s="1" t="s">
        <v>48</v>
      </c>
      <c r="AB91" s="1" t="s">
        <v>48</v>
      </c>
      <c r="AC91" s="1">
        <v>541</v>
      </c>
      <c r="AD91" s="1">
        <v>554</v>
      </c>
      <c r="AE91" s="1" t="s">
        <v>48</v>
      </c>
      <c r="AF91" s="1" t="s">
        <v>8914</v>
      </c>
      <c r="AG91" s="1" t="str">
        <f>HYPERLINK("http://dx.doi.org/10.1007/s40747-021-00540-5","http://dx.doi.org/10.1007/s40747-021-00540-5")</f>
        <v>http://dx.doi.org/10.1007/s40747-021-00540-5</v>
      </c>
      <c r="AH91" s="1" t="s">
        <v>48</v>
      </c>
      <c r="AI91" s="1" t="s">
        <v>10620</v>
      </c>
      <c r="AJ91" s="1">
        <v>14</v>
      </c>
      <c r="AK91" s="1" t="s">
        <v>549</v>
      </c>
      <c r="AL91" s="1" t="s">
        <v>67</v>
      </c>
      <c r="AM91" s="1" t="s">
        <v>292</v>
      </c>
      <c r="AN91" s="1" t="s">
        <v>48</v>
      </c>
      <c r="AO91" s="1" t="s">
        <v>125</v>
      </c>
      <c r="AP91" s="1" t="s">
        <v>48</v>
      </c>
      <c r="AQ91" s="1" t="s">
        <v>48</v>
      </c>
      <c r="AR91" s="1" t="s">
        <v>10610</v>
      </c>
    </row>
    <row r="92" spans="1:44" x14ac:dyDescent="0.45">
      <c r="A92" s="1" t="s">
        <v>8716</v>
      </c>
      <c r="B92" s="1" t="s">
        <v>8915</v>
      </c>
      <c r="C92" s="1" t="s">
        <v>6179</v>
      </c>
      <c r="D92" s="1" t="s">
        <v>52</v>
      </c>
      <c r="E92" s="1" t="s">
        <v>53</v>
      </c>
      <c r="F92" s="1" t="s">
        <v>8916</v>
      </c>
      <c r="G92" s="1" t="s">
        <v>58</v>
      </c>
      <c r="H92" s="1" t="s">
        <v>1379</v>
      </c>
      <c r="I92" s="1">
        <v>44</v>
      </c>
      <c r="J92" s="1">
        <v>11</v>
      </c>
      <c r="K92" s="1">
        <v>2</v>
      </c>
      <c r="L92" s="1">
        <v>7</v>
      </c>
      <c r="M92" s="1" t="s">
        <v>748</v>
      </c>
      <c r="N92" s="1" t="s">
        <v>749</v>
      </c>
      <c r="O92" s="1" t="s">
        <v>750</v>
      </c>
      <c r="P92" s="1" t="s">
        <v>6182</v>
      </c>
      <c r="Q92" s="1" t="s">
        <v>6183</v>
      </c>
      <c r="R92" s="1" t="s">
        <v>48</v>
      </c>
      <c r="S92" s="1" t="s">
        <v>6184</v>
      </c>
      <c r="T92" s="1" t="s">
        <v>6185</v>
      </c>
      <c r="U92" s="1" t="s">
        <v>243</v>
      </c>
      <c r="V92" s="1">
        <v>2021</v>
      </c>
      <c r="W92" s="1">
        <v>29</v>
      </c>
      <c r="X92" s="1">
        <v>3</v>
      </c>
      <c r="Y92" s="1" t="s">
        <v>48</v>
      </c>
      <c r="Z92" s="1" t="s">
        <v>48</v>
      </c>
      <c r="AA92" s="1" t="s">
        <v>48</v>
      </c>
      <c r="AB92" s="1" t="s">
        <v>48</v>
      </c>
      <c r="AC92" s="1">
        <v>411</v>
      </c>
      <c r="AD92" s="1">
        <v>433</v>
      </c>
      <c r="AE92" s="1" t="s">
        <v>48</v>
      </c>
      <c r="AF92" s="1" t="s">
        <v>8917</v>
      </c>
      <c r="AG92" s="1" t="str">
        <f>HYPERLINK("http://dx.doi.org/10.1142/S0218488521500185","http://dx.doi.org/10.1142/S0218488521500185")</f>
        <v>http://dx.doi.org/10.1142/S0218488521500185</v>
      </c>
      <c r="AH92" s="1" t="s">
        <v>48</v>
      </c>
      <c r="AI92" s="1" t="s">
        <v>48</v>
      </c>
      <c r="AJ92" s="1">
        <v>23</v>
      </c>
      <c r="AK92" s="1" t="s">
        <v>549</v>
      </c>
      <c r="AL92" s="1" t="s">
        <v>944</v>
      </c>
      <c r="AM92" s="1" t="s">
        <v>292</v>
      </c>
      <c r="AN92" s="1" t="s">
        <v>48</v>
      </c>
      <c r="AO92" s="1" t="s">
        <v>48</v>
      </c>
      <c r="AP92" s="1" t="s">
        <v>48</v>
      </c>
      <c r="AQ92" s="1" t="s">
        <v>48</v>
      </c>
      <c r="AR92" s="1" t="s">
        <v>10610</v>
      </c>
    </row>
    <row r="93" spans="1:44" x14ac:dyDescent="0.45">
      <c r="A93" s="1" t="s">
        <v>8934</v>
      </c>
      <c r="B93" s="1" t="s">
        <v>8935</v>
      </c>
      <c r="C93" s="1" t="s">
        <v>6674</v>
      </c>
      <c r="D93" s="1" t="s">
        <v>52</v>
      </c>
      <c r="E93" s="1" t="s">
        <v>53</v>
      </c>
      <c r="F93" s="1" t="s">
        <v>8936</v>
      </c>
      <c r="G93" s="1" t="s">
        <v>58</v>
      </c>
      <c r="H93" s="1" t="s">
        <v>8937</v>
      </c>
      <c r="I93" s="1">
        <v>75</v>
      </c>
      <c r="J93" s="1">
        <v>4</v>
      </c>
      <c r="K93" s="1">
        <v>0</v>
      </c>
      <c r="L93" s="1">
        <v>12</v>
      </c>
      <c r="M93" s="1" t="s">
        <v>252</v>
      </c>
      <c r="N93" s="1" t="s">
        <v>253</v>
      </c>
      <c r="O93" s="1" t="s">
        <v>254</v>
      </c>
      <c r="P93" s="1" t="s">
        <v>6677</v>
      </c>
      <c r="Q93" s="1" t="s">
        <v>6678</v>
      </c>
      <c r="R93" s="1" t="s">
        <v>48</v>
      </c>
      <c r="S93" s="1" t="s">
        <v>6679</v>
      </c>
      <c r="T93" s="1" t="s">
        <v>6680</v>
      </c>
      <c r="U93" s="1" t="s">
        <v>832</v>
      </c>
      <c r="V93" s="1">
        <v>2021</v>
      </c>
      <c r="W93" s="1">
        <v>127</v>
      </c>
      <c r="X93" s="1">
        <v>5</v>
      </c>
      <c r="Y93" s="1" t="s">
        <v>48</v>
      </c>
      <c r="Z93" s="1" t="s">
        <v>48</v>
      </c>
      <c r="AA93" s="1" t="s">
        <v>48</v>
      </c>
      <c r="AB93" s="1" t="s">
        <v>48</v>
      </c>
      <c r="AC93" s="1" t="s">
        <v>48</v>
      </c>
      <c r="AD93" s="1" t="s">
        <v>48</v>
      </c>
      <c r="AE93" s="1">
        <v>316</v>
      </c>
      <c r="AF93" s="1" t="s">
        <v>8938</v>
      </c>
      <c r="AG93" s="1" t="str">
        <f>HYPERLINK("http://dx.doi.org/10.1007/s00339-021-04483-z","http://dx.doi.org/10.1007/s00339-021-04483-z")</f>
        <v>http://dx.doi.org/10.1007/s00339-021-04483-z</v>
      </c>
      <c r="AH93" s="1" t="s">
        <v>48</v>
      </c>
      <c r="AI93" s="1" t="s">
        <v>48</v>
      </c>
      <c r="AJ93" s="1">
        <v>12</v>
      </c>
      <c r="AK93" s="1" t="s">
        <v>2821</v>
      </c>
      <c r="AL93" s="1" t="s">
        <v>67</v>
      </c>
      <c r="AM93" s="1" t="s">
        <v>2822</v>
      </c>
      <c r="AN93" s="1" t="s">
        <v>48</v>
      </c>
      <c r="AO93" s="1" t="s">
        <v>48</v>
      </c>
      <c r="AP93" s="1" t="s">
        <v>48</v>
      </c>
      <c r="AQ93" s="1" t="s">
        <v>48</v>
      </c>
      <c r="AR93" s="1" t="s">
        <v>10610</v>
      </c>
    </row>
    <row r="94" spans="1:44" x14ac:dyDescent="0.45">
      <c r="A94" s="1" t="s">
        <v>2901</v>
      </c>
      <c r="B94" s="1" t="s">
        <v>8939</v>
      </c>
      <c r="C94" s="1" t="s">
        <v>1931</v>
      </c>
      <c r="D94" s="1" t="s">
        <v>52</v>
      </c>
      <c r="E94" s="1" t="s">
        <v>53</v>
      </c>
      <c r="F94" s="1" t="s">
        <v>2903</v>
      </c>
      <c r="G94" s="1" t="s">
        <v>58</v>
      </c>
      <c r="H94" s="1" t="s">
        <v>2904</v>
      </c>
      <c r="I94" s="1">
        <v>56</v>
      </c>
      <c r="J94" s="1">
        <v>24</v>
      </c>
      <c r="K94" s="1">
        <v>5</v>
      </c>
      <c r="L94" s="1">
        <v>52</v>
      </c>
      <c r="M94" s="1" t="s">
        <v>252</v>
      </c>
      <c r="N94" s="1" t="s">
        <v>253</v>
      </c>
      <c r="O94" s="1" t="s">
        <v>254</v>
      </c>
      <c r="P94" s="1" t="s">
        <v>1932</v>
      </c>
      <c r="Q94" s="1" t="s">
        <v>1933</v>
      </c>
      <c r="R94" s="1" t="s">
        <v>48</v>
      </c>
      <c r="S94" s="1" t="s">
        <v>1934</v>
      </c>
      <c r="T94" s="1" t="s">
        <v>1935</v>
      </c>
      <c r="U94" s="1" t="s">
        <v>911</v>
      </c>
      <c r="V94" s="1">
        <v>2022</v>
      </c>
      <c r="W94" s="1">
        <v>8</v>
      </c>
      <c r="X94" s="1">
        <v>2</v>
      </c>
      <c r="Y94" s="1" t="s">
        <v>48</v>
      </c>
      <c r="Z94" s="1" t="s">
        <v>48</v>
      </c>
      <c r="AA94" s="1" t="s">
        <v>1260</v>
      </c>
      <c r="AB94" s="1" t="s">
        <v>48</v>
      </c>
      <c r="AC94" s="1">
        <v>819</v>
      </c>
      <c r="AD94" s="1">
        <v>833</v>
      </c>
      <c r="AE94" s="1" t="s">
        <v>48</v>
      </c>
      <c r="AF94" s="1" t="s">
        <v>8940</v>
      </c>
      <c r="AG94" s="1" t="str">
        <f>HYPERLINK("http://dx.doi.org/10.1007/s40747-021-00369-y","http://dx.doi.org/10.1007/s40747-021-00369-y")</f>
        <v>http://dx.doi.org/10.1007/s40747-021-00369-y</v>
      </c>
      <c r="AH94" s="1" t="s">
        <v>48</v>
      </c>
      <c r="AI94" s="1" t="s">
        <v>10621</v>
      </c>
      <c r="AJ94" s="1">
        <v>15</v>
      </c>
      <c r="AK94" s="1" t="s">
        <v>549</v>
      </c>
      <c r="AL94" s="1" t="s">
        <v>67</v>
      </c>
      <c r="AM94" s="1" t="s">
        <v>292</v>
      </c>
      <c r="AN94" s="1" t="s">
        <v>48</v>
      </c>
      <c r="AO94" s="1" t="s">
        <v>125</v>
      </c>
      <c r="AP94" s="1" t="s">
        <v>48</v>
      </c>
      <c r="AQ94" s="1" t="s">
        <v>48</v>
      </c>
      <c r="AR94" s="1" t="s">
        <v>10610</v>
      </c>
    </row>
    <row r="95" spans="1:44" x14ac:dyDescent="0.45">
      <c r="A95" s="1" t="s">
        <v>3235</v>
      </c>
      <c r="B95" s="1" t="s">
        <v>8966</v>
      </c>
      <c r="C95" s="1" t="s">
        <v>800</v>
      </c>
      <c r="D95" s="1" t="s">
        <v>52</v>
      </c>
      <c r="E95" s="1" t="s">
        <v>53</v>
      </c>
      <c r="F95" s="1" t="s">
        <v>8967</v>
      </c>
      <c r="G95" s="1" t="s">
        <v>58</v>
      </c>
      <c r="H95" s="1" t="s">
        <v>8968</v>
      </c>
      <c r="I95" s="1">
        <v>40</v>
      </c>
      <c r="J95" s="1">
        <v>11</v>
      </c>
      <c r="K95" s="1">
        <v>1</v>
      </c>
      <c r="L95" s="1">
        <v>16</v>
      </c>
      <c r="M95" s="1" t="s">
        <v>803</v>
      </c>
      <c r="N95" s="1" t="s">
        <v>239</v>
      </c>
      <c r="O95" s="1" t="s">
        <v>804</v>
      </c>
      <c r="P95" s="1" t="s">
        <v>805</v>
      </c>
      <c r="Q95" s="1" t="s">
        <v>806</v>
      </c>
      <c r="R95" s="1" t="s">
        <v>48</v>
      </c>
      <c r="S95" s="1" t="s">
        <v>800</v>
      </c>
      <c r="T95" s="1" t="s">
        <v>807</v>
      </c>
      <c r="U95" s="1" t="s">
        <v>436</v>
      </c>
      <c r="V95" s="1">
        <v>2021</v>
      </c>
      <c r="W95" s="1">
        <v>58</v>
      </c>
      <c r="X95" s="1">
        <v>3</v>
      </c>
      <c r="Y95" s="1" t="s">
        <v>48</v>
      </c>
      <c r="Z95" s="1" t="s">
        <v>48</v>
      </c>
      <c r="AA95" s="1" t="s">
        <v>48</v>
      </c>
      <c r="AB95" s="1" t="s">
        <v>48</v>
      </c>
      <c r="AC95" s="1">
        <v>690</v>
      </c>
      <c r="AD95" s="1">
        <v>710</v>
      </c>
      <c r="AE95" s="1" t="s">
        <v>48</v>
      </c>
      <c r="AF95" s="1" t="s">
        <v>8969</v>
      </c>
      <c r="AG95" s="1" t="str">
        <f>HYPERLINK("http://dx.doi.org/10.1007/s12597-020-00499-w","http://dx.doi.org/10.1007/s12597-020-00499-w")</f>
        <v>http://dx.doi.org/10.1007/s12597-020-00499-w</v>
      </c>
      <c r="AH95" s="1" t="s">
        <v>48</v>
      </c>
      <c r="AI95" s="1" t="s">
        <v>10619</v>
      </c>
      <c r="AJ95" s="1">
        <v>21</v>
      </c>
      <c r="AK95" s="1" t="s">
        <v>580</v>
      </c>
      <c r="AL95" s="1" t="s">
        <v>124</v>
      </c>
      <c r="AM95" s="1" t="s">
        <v>580</v>
      </c>
      <c r="AN95" s="1" t="s">
        <v>48</v>
      </c>
      <c r="AO95" s="1" t="s">
        <v>48</v>
      </c>
      <c r="AP95" s="1" t="s">
        <v>48</v>
      </c>
      <c r="AQ95" s="1" t="s">
        <v>48</v>
      </c>
      <c r="AR95" s="1" t="s">
        <v>10610</v>
      </c>
    </row>
    <row r="96" spans="1:44" x14ac:dyDescent="0.45">
      <c r="A96" s="1" t="s">
        <v>8872</v>
      </c>
      <c r="B96" s="1" t="s">
        <v>8970</v>
      </c>
      <c r="C96" s="1" t="s">
        <v>8874</v>
      </c>
      <c r="D96" s="1" t="s">
        <v>52</v>
      </c>
      <c r="E96" s="1" t="s">
        <v>585</v>
      </c>
      <c r="F96" s="1" t="s">
        <v>8886</v>
      </c>
      <c r="G96" s="1" t="s">
        <v>58</v>
      </c>
      <c r="H96" s="1" t="s">
        <v>8876</v>
      </c>
      <c r="I96" s="1">
        <v>12</v>
      </c>
      <c r="J96" s="1">
        <v>0</v>
      </c>
      <c r="K96" s="1">
        <v>1</v>
      </c>
      <c r="L96" s="1">
        <v>1</v>
      </c>
      <c r="M96" s="1" t="s">
        <v>1805</v>
      </c>
      <c r="N96" s="1" t="s">
        <v>146</v>
      </c>
      <c r="O96" s="1" t="s">
        <v>1806</v>
      </c>
      <c r="P96" s="1" t="s">
        <v>8877</v>
      </c>
      <c r="Q96" s="1" t="s">
        <v>8878</v>
      </c>
      <c r="R96" s="1" t="s">
        <v>8879</v>
      </c>
      <c r="S96" s="1" t="s">
        <v>8880</v>
      </c>
      <c r="T96" s="1" t="s">
        <v>48</v>
      </c>
      <c r="U96" s="1" t="s">
        <v>48</v>
      </c>
      <c r="V96" s="1">
        <v>2021</v>
      </c>
      <c r="W96" s="1" t="s">
        <v>48</v>
      </c>
      <c r="X96" s="1" t="s">
        <v>48</v>
      </c>
      <c r="Y96" s="1" t="s">
        <v>48</v>
      </c>
      <c r="Z96" s="1" t="s">
        <v>48</v>
      </c>
      <c r="AA96" s="1" t="s">
        <v>48</v>
      </c>
      <c r="AB96" s="1" t="s">
        <v>48</v>
      </c>
      <c r="AC96" s="1">
        <v>31</v>
      </c>
      <c r="AD96" s="1">
        <v>37</v>
      </c>
      <c r="AE96" s="1" t="s">
        <v>48</v>
      </c>
      <c r="AF96" s="1" t="s">
        <v>48</v>
      </c>
      <c r="AG96" s="1" t="s">
        <v>48</v>
      </c>
      <c r="AH96" s="1" t="s">
        <v>8882</v>
      </c>
      <c r="AI96" s="1" t="s">
        <v>48</v>
      </c>
      <c r="AJ96" s="1">
        <v>7</v>
      </c>
      <c r="AK96" s="1" t="s">
        <v>8883</v>
      </c>
      <c r="AL96" s="1" t="s">
        <v>592</v>
      </c>
      <c r="AM96" s="1" t="s">
        <v>8884</v>
      </c>
      <c r="AN96" s="1" t="s">
        <v>48</v>
      </c>
      <c r="AO96" s="1" t="s">
        <v>48</v>
      </c>
      <c r="AP96" s="1" t="s">
        <v>48</v>
      </c>
      <c r="AQ96" s="1" t="s">
        <v>48</v>
      </c>
      <c r="AR96" s="1" t="s">
        <v>10610</v>
      </c>
    </row>
    <row r="97" spans="1:44" x14ac:dyDescent="0.45">
      <c r="A97" s="1" t="s">
        <v>8872</v>
      </c>
      <c r="B97" s="1" t="s">
        <v>8993</v>
      </c>
      <c r="C97" s="1" t="s">
        <v>8874</v>
      </c>
      <c r="D97" s="1" t="s">
        <v>52</v>
      </c>
      <c r="E97" s="1" t="s">
        <v>585</v>
      </c>
      <c r="F97" s="1" t="s">
        <v>8886</v>
      </c>
      <c r="G97" s="1" t="s">
        <v>58</v>
      </c>
      <c r="H97" s="1" t="s">
        <v>8876</v>
      </c>
      <c r="I97" s="1">
        <v>20</v>
      </c>
      <c r="J97" s="1">
        <v>0</v>
      </c>
      <c r="K97" s="1">
        <v>1</v>
      </c>
      <c r="L97" s="1">
        <v>1</v>
      </c>
      <c r="M97" s="1" t="s">
        <v>1805</v>
      </c>
      <c r="N97" s="1" t="s">
        <v>146</v>
      </c>
      <c r="O97" s="1" t="s">
        <v>1806</v>
      </c>
      <c r="P97" s="1" t="s">
        <v>8877</v>
      </c>
      <c r="Q97" s="1" t="s">
        <v>8878</v>
      </c>
      <c r="R97" s="1" t="s">
        <v>8879</v>
      </c>
      <c r="S97" s="1" t="s">
        <v>8880</v>
      </c>
      <c r="T97" s="1" t="s">
        <v>48</v>
      </c>
      <c r="U97" s="1" t="s">
        <v>48</v>
      </c>
      <c r="V97" s="1">
        <v>2021</v>
      </c>
      <c r="W97" s="1" t="s">
        <v>48</v>
      </c>
      <c r="X97" s="1" t="s">
        <v>48</v>
      </c>
      <c r="Y97" s="1" t="s">
        <v>48</v>
      </c>
      <c r="Z97" s="1" t="s">
        <v>48</v>
      </c>
      <c r="AA97" s="1" t="s">
        <v>48</v>
      </c>
      <c r="AB97" s="1" t="s">
        <v>48</v>
      </c>
      <c r="AC97" s="1">
        <v>94</v>
      </c>
      <c r="AD97" s="1">
        <v>105</v>
      </c>
      <c r="AE97" s="1" t="s">
        <v>48</v>
      </c>
      <c r="AF97" s="1" t="s">
        <v>48</v>
      </c>
      <c r="AG97" s="1" t="s">
        <v>48</v>
      </c>
      <c r="AH97" s="1" t="s">
        <v>8882</v>
      </c>
      <c r="AI97" s="1" t="s">
        <v>48</v>
      </c>
      <c r="AJ97" s="1">
        <v>12</v>
      </c>
      <c r="AK97" s="1" t="s">
        <v>8883</v>
      </c>
      <c r="AL97" s="1" t="s">
        <v>592</v>
      </c>
      <c r="AM97" s="1" t="s">
        <v>8884</v>
      </c>
      <c r="AN97" s="1" t="s">
        <v>48</v>
      </c>
      <c r="AO97" s="1" t="s">
        <v>48</v>
      </c>
      <c r="AP97" s="1" t="s">
        <v>48</v>
      </c>
      <c r="AQ97" s="1" t="s">
        <v>48</v>
      </c>
      <c r="AR97" s="1" t="s">
        <v>10610</v>
      </c>
    </row>
    <row r="98" spans="1:44" x14ac:dyDescent="0.45">
      <c r="A98" s="1" t="s">
        <v>2901</v>
      </c>
      <c r="B98" s="1" t="s">
        <v>8971</v>
      </c>
      <c r="C98" s="1" t="s">
        <v>6898</v>
      </c>
      <c r="D98" s="1" t="s">
        <v>52</v>
      </c>
      <c r="E98" s="1" t="s">
        <v>53</v>
      </c>
      <c r="F98" s="1" t="s">
        <v>8972</v>
      </c>
      <c r="G98" s="1" t="s">
        <v>58</v>
      </c>
      <c r="H98" s="1" t="s">
        <v>2282</v>
      </c>
      <c r="I98" s="1">
        <v>43</v>
      </c>
      <c r="J98" s="1">
        <v>10</v>
      </c>
      <c r="K98" s="1">
        <v>3</v>
      </c>
      <c r="L98" s="1">
        <v>43</v>
      </c>
      <c r="M98" s="1" t="s">
        <v>347</v>
      </c>
      <c r="N98" s="1" t="s">
        <v>348</v>
      </c>
      <c r="O98" s="1" t="s">
        <v>349</v>
      </c>
      <c r="P98" s="1" t="s">
        <v>6901</v>
      </c>
      <c r="Q98" s="1" t="s">
        <v>6902</v>
      </c>
      <c r="R98" s="1" t="s">
        <v>48</v>
      </c>
      <c r="S98" s="1" t="s">
        <v>6903</v>
      </c>
      <c r="T98" s="1" t="s">
        <v>6904</v>
      </c>
      <c r="U98" s="1" t="s">
        <v>458</v>
      </c>
      <c r="V98" s="1">
        <v>2021</v>
      </c>
      <c r="W98" s="1">
        <v>36</v>
      </c>
      <c r="X98" s="1">
        <v>10</v>
      </c>
      <c r="Y98" s="1" t="s">
        <v>48</v>
      </c>
      <c r="Z98" s="1" t="s">
        <v>48</v>
      </c>
      <c r="AA98" s="1" t="s">
        <v>48</v>
      </c>
      <c r="AB98" s="1" t="s">
        <v>48</v>
      </c>
      <c r="AC98" s="1">
        <v>5389</v>
      </c>
      <c r="AD98" s="1">
        <v>5418</v>
      </c>
      <c r="AE98" s="1" t="s">
        <v>48</v>
      </c>
      <c r="AF98" s="1" t="s">
        <v>8973</v>
      </c>
      <c r="AG98" s="1" t="str">
        <f>HYPERLINK("http://dx.doi.org/10.1002/int.22516","http://dx.doi.org/10.1002/int.22516")</f>
        <v>http://dx.doi.org/10.1002/int.22516</v>
      </c>
      <c r="AH98" s="1" t="s">
        <v>48</v>
      </c>
      <c r="AI98" s="1" t="s">
        <v>10611</v>
      </c>
      <c r="AJ98" s="1">
        <v>30</v>
      </c>
      <c r="AK98" s="1" t="s">
        <v>549</v>
      </c>
      <c r="AL98" s="1" t="s">
        <v>67</v>
      </c>
      <c r="AM98" s="1" t="s">
        <v>292</v>
      </c>
      <c r="AN98" s="1" t="s">
        <v>48</v>
      </c>
      <c r="AO98" s="1" t="s">
        <v>125</v>
      </c>
      <c r="AP98" s="1" t="s">
        <v>48</v>
      </c>
      <c r="AQ98" s="1" t="s">
        <v>48</v>
      </c>
      <c r="AR98" s="1" t="s">
        <v>10610</v>
      </c>
    </row>
    <row r="99" spans="1:44" x14ac:dyDescent="0.45">
      <c r="A99" s="1" t="s">
        <v>8974</v>
      </c>
      <c r="B99" s="1" t="s">
        <v>8975</v>
      </c>
      <c r="C99" s="1" t="s">
        <v>7914</v>
      </c>
      <c r="D99" s="1" t="s">
        <v>52</v>
      </c>
      <c r="E99" s="1" t="s">
        <v>53</v>
      </c>
      <c r="F99" s="1" t="s">
        <v>8976</v>
      </c>
      <c r="G99" s="1" t="s">
        <v>115</v>
      </c>
      <c r="H99" s="1" t="s">
        <v>8977</v>
      </c>
      <c r="I99" s="1">
        <v>46</v>
      </c>
      <c r="J99" s="1">
        <v>5</v>
      </c>
      <c r="K99" s="1">
        <v>2</v>
      </c>
      <c r="L99" s="1">
        <v>22</v>
      </c>
      <c r="M99" s="1" t="s">
        <v>79</v>
      </c>
      <c r="N99" s="1" t="s">
        <v>80</v>
      </c>
      <c r="O99" s="1" t="s">
        <v>81</v>
      </c>
      <c r="P99" s="1" t="s">
        <v>7920</v>
      </c>
      <c r="Q99" s="1" t="s">
        <v>7921</v>
      </c>
      <c r="R99" s="1" t="s">
        <v>48</v>
      </c>
      <c r="S99" s="1" t="s">
        <v>7922</v>
      </c>
      <c r="T99" s="1" t="s">
        <v>7923</v>
      </c>
      <c r="U99" s="1" t="s">
        <v>10627</v>
      </c>
      <c r="V99" s="1">
        <v>2021</v>
      </c>
      <c r="W99" s="1">
        <v>618</v>
      </c>
      <c r="X99" s="1" t="s">
        <v>48</v>
      </c>
      <c r="Y99" s="1" t="s">
        <v>48</v>
      </c>
      <c r="Z99" s="1" t="s">
        <v>48</v>
      </c>
      <c r="AA99" s="1" t="s">
        <v>48</v>
      </c>
      <c r="AB99" s="1" t="s">
        <v>48</v>
      </c>
      <c r="AC99" s="1" t="s">
        <v>48</v>
      </c>
      <c r="AD99" s="1" t="s">
        <v>48</v>
      </c>
      <c r="AE99" s="1">
        <v>126483</v>
      </c>
      <c r="AF99" s="1" t="s">
        <v>8978</v>
      </c>
      <c r="AG99" s="1" t="str">
        <f>HYPERLINK("http://dx.doi.org/10.1016/j.colsurfa.2021.126483","http://dx.doi.org/10.1016/j.colsurfa.2021.126483")</f>
        <v>http://dx.doi.org/10.1016/j.colsurfa.2021.126483</v>
      </c>
      <c r="AH99" s="1" t="s">
        <v>48</v>
      </c>
      <c r="AI99" s="1" t="s">
        <v>10618</v>
      </c>
      <c r="AJ99" s="1">
        <v>9</v>
      </c>
      <c r="AK99" s="1" t="s">
        <v>2899</v>
      </c>
      <c r="AL99" s="1" t="s">
        <v>67</v>
      </c>
      <c r="AM99" s="1" t="s">
        <v>2293</v>
      </c>
      <c r="AN99" s="1" t="s">
        <v>48</v>
      </c>
      <c r="AO99" s="1" t="s">
        <v>48</v>
      </c>
      <c r="AP99" s="1" t="s">
        <v>48</v>
      </c>
      <c r="AQ99" s="1" t="s">
        <v>48</v>
      </c>
      <c r="AR99" s="1" t="s">
        <v>10610</v>
      </c>
    </row>
    <row r="100" spans="1:44" x14ac:dyDescent="0.45">
      <c r="A100" s="1" t="s">
        <v>3235</v>
      </c>
      <c r="B100" s="1" t="s">
        <v>9027</v>
      </c>
      <c r="C100" s="1" t="s">
        <v>2092</v>
      </c>
      <c r="D100" s="1" t="s">
        <v>52</v>
      </c>
      <c r="E100" s="1" t="s">
        <v>53</v>
      </c>
      <c r="F100" s="1" t="s">
        <v>9028</v>
      </c>
      <c r="G100" s="1" t="s">
        <v>58</v>
      </c>
      <c r="H100" s="1" t="s">
        <v>3238</v>
      </c>
      <c r="I100" s="1">
        <v>38</v>
      </c>
      <c r="J100" s="1">
        <v>23</v>
      </c>
      <c r="K100" s="1">
        <v>2</v>
      </c>
      <c r="L100" s="1">
        <v>25</v>
      </c>
      <c r="M100" s="1" t="s">
        <v>803</v>
      </c>
      <c r="N100" s="1" t="s">
        <v>239</v>
      </c>
      <c r="O100" s="1" t="s">
        <v>804</v>
      </c>
      <c r="P100" s="1" t="s">
        <v>2093</v>
      </c>
      <c r="Q100" s="1" t="s">
        <v>2094</v>
      </c>
      <c r="R100" s="1" t="s">
        <v>48</v>
      </c>
      <c r="S100" s="1" t="s">
        <v>2095</v>
      </c>
      <c r="T100" s="1" t="s">
        <v>2096</v>
      </c>
      <c r="U100" s="1" t="s">
        <v>86</v>
      </c>
      <c r="V100" s="1">
        <v>2021</v>
      </c>
      <c r="W100" s="1">
        <v>46</v>
      </c>
      <c r="X100" s="1">
        <v>4</v>
      </c>
      <c r="Y100" s="1" t="s">
        <v>48</v>
      </c>
      <c r="Z100" s="1" t="s">
        <v>48</v>
      </c>
      <c r="AA100" s="1" t="s">
        <v>48</v>
      </c>
      <c r="AB100" s="1" t="s">
        <v>48</v>
      </c>
      <c r="AC100" s="1" t="s">
        <v>48</v>
      </c>
      <c r="AD100" s="1" t="s">
        <v>48</v>
      </c>
      <c r="AE100" s="1">
        <v>211</v>
      </c>
      <c r="AF100" s="1" t="s">
        <v>9029</v>
      </c>
      <c r="AG100" s="1" t="str">
        <f>HYPERLINK("http://dx.doi.org/10.1007/s12046-021-01716-y","http://dx.doi.org/10.1007/s12046-021-01716-y")</f>
        <v>http://dx.doi.org/10.1007/s12046-021-01716-y</v>
      </c>
      <c r="AH100" s="1" t="s">
        <v>48</v>
      </c>
      <c r="AI100" s="1" t="s">
        <v>48</v>
      </c>
      <c r="AJ100" s="1">
        <v>18</v>
      </c>
      <c r="AK100" s="1" t="s">
        <v>1732</v>
      </c>
      <c r="AL100" s="1" t="s">
        <v>67</v>
      </c>
      <c r="AM100" s="1" t="s">
        <v>1733</v>
      </c>
      <c r="AN100" s="1" t="s">
        <v>48</v>
      </c>
      <c r="AO100" s="1" t="s">
        <v>48</v>
      </c>
      <c r="AP100" s="1" t="s">
        <v>48</v>
      </c>
      <c r="AQ100" s="1" t="s">
        <v>48</v>
      </c>
      <c r="AR100" s="1" t="s">
        <v>10610</v>
      </c>
    </row>
    <row r="101" spans="1:44" x14ac:dyDescent="0.45">
      <c r="A101" s="1" t="s">
        <v>3093</v>
      </c>
      <c r="B101" s="1" t="s">
        <v>9030</v>
      </c>
      <c r="C101" s="1" t="s">
        <v>2194</v>
      </c>
      <c r="D101" s="1" t="s">
        <v>52</v>
      </c>
      <c r="E101" s="1" t="s">
        <v>53</v>
      </c>
      <c r="F101" s="1" t="s">
        <v>9031</v>
      </c>
      <c r="G101" s="1" t="s">
        <v>58</v>
      </c>
      <c r="H101" s="1" t="s">
        <v>9032</v>
      </c>
      <c r="I101" s="1">
        <v>57</v>
      </c>
      <c r="J101" s="1">
        <v>17</v>
      </c>
      <c r="K101" s="1">
        <v>1</v>
      </c>
      <c r="L101" s="1">
        <v>10</v>
      </c>
      <c r="M101" s="1" t="s">
        <v>503</v>
      </c>
      <c r="N101" s="1" t="s">
        <v>542</v>
      </c>
      <c r="O101" s="1" t="s">
        <v>543</v>
      </c>
      <c r="P101" s="1" t="s">
        <v>2195</v>
      </c>
      <c r="Q101" s="1" t="s">
        <v>2196</v>
      </c>
      <c r="R101" s="1" t="s">
        <v>48</v>
      </c>
      <c r="S101" s="1" t="s">
        <v>2194</v>
      </c>
      <c r="T101" s="1" t="s">
        <v>2197</v>
      </c>
      <c r="U101" s="1" t="s">
        <v>458</v>
      </c>
      <c r="V101" s="1">
        <v>2022</v>
      </c>
      <c r="W101" s="1">
        <v>87</v>
      </c>
      <c r="X101" s="1">
        <v>5</v>
      </c>
      <c r="Y101" s="1" t="s">
        <v>48</v>
      </c>
      <c r="Z101" s="1" t="s">
        <v>48</v>
      </c>
      <c r="AA101" s="1" t="s">
        <v>48</v>
      </c>
      <c r="AB101" s="1" t="s">
        <v>48</v>
      </c>
      <c r="AC101" s="1">
        <v>3987</v>
      </c>
      <c r="AD101" s="1">
        <v>4006</v>
      </c>
      <c r="AE101" s="1" t="s">
        <v>48</v>
      </c>
      <c r="AF101" s="1" t="s">
        <v>9033</v>
      </c>
      <c r="AG101" s="1" t="str">
        <f>HYPERLINK("http://dx.doi.org/10.1007/s10708-021-10483-6","http://dx.doi.org/10.1007/s10708-021-10483-6")</f>
        <v>http://dx.doi.org/10.1007/s10708-021-10483-6</v>
      </c>
      <c r="AH101" s="1" t="s">
        <v>48</v>
      </c>
      <c r="AI101" s="1" t="s">
        <v>10612</v>
      </c>
      <c r="AJ101" s="1">
        <v>20</v>
      </c>
      <c r="AK101" s="1" t="s">
        <v>493</v>
      </c>
      <c r="AL101" s="1" t="s">
        <v>124</v>
      </c>
      <c r="AM101" s="1" t="s">
        <v>493</v>
      </c>
      <c r="AN101" s="1" t="s">
        <v>48</v>
      </c>
      <c r="AO101" s="1" t="s">
        <v>48</v>
      </c>
      <c r="AP101" s="1" t="s">
        <v>48</v>
      </c>
      <c r="AQ101" s="1" t="s">
        <v>48</v>
      </c>
      <c r="AR101" s="1" t="s">
        <v>10610</v>
      </c>
    </row>
    <row r="102" spans="1:44" x14ac:dyDescent="0.45">
      <c r="A102" s="1" t="s">
        <v>9034</v>
      </c>
      <c r="B102" s="1" t="s">
        <v>9035</v>
      </c>
      <c r="C102" s="1" t="s">
        <v>296</v>
      </c>
      <c r="D102" s="1" t="s">
        <v>52</v>
      </c>
      <c r="E102" s="1" t="s">
        <v>53</v>
      </c>
      <c r="F102" s="1" t="s">
        <v>9036</v>
      </c>
      <c r="G102" s="1" t="s">
        <v>58</v>
      </c>
      <c r="H102" s="1" t="s">
        <v>9037</v>
      </c>
      <c r="I102" s="1">
        <v>48</v>
      </c>
      <c r="J102" s="1">
        <v>4</v>
      </c>
      <c r="K102" s="1">
        <v>1</v>
      </c>
      <c r="L102" s="1">
        <v>21</v>
      </c>
      <c r="M102" s="1" t="s">
        <v>198</v>
      </c>
      <c r="N102" s="1" t="s">
        <v>146</v>
      </c>
      <c r="O102" s="1" t="s">
        <v>199</v>
      </c>
      <c r="P102" s="1" t="s">
        <v>299</v>
      </c>
      <c r="Q102" s="1" t="s">
        <v>300</v>
      </c>
      <c r="R102" s="1" t="s">
        <v>48</v>
      </c>
      <c r="S102" s="1" t="s">
        <v>301</v>
      </c>
      <c r="T102" s="1" t="s">
        <v>302</v>
      </c>
      <c r="U102" s="1" t="s">
        <v>150</v>
      </c>
      <c r="V102" s="1">
        <v>2021</v>
      </c>
      <c r="W102" s="1">
        <v>8</v>
      </c>
      <c r="X102" s="1">
        <v>3</v>
      </c>
      <c r="Y102" s="1" t="s">
        <v>48</v>
      </c>
      <c r="Z102" s="1" t="s">
        <v>48</v>
      </c>
      <c r="AA102" s="1" t="s">
        <v>48</v>
      </c>
      <c r="AB102" s="1" t="s">
        <v>48</v>
      </c>
      <c r="AC102" s="1">
        <v>262</v>
      </c>
      <c r="AD102" s="1">
        <v>282</v>
      </c>
      <c r="AE102" s="1" t="s">
        <v>48</v>
      </c>
      <c r="AF102" s="1" t="s">
        <v>9038</v>
      </c>
      <c r="AG102" s="1" t="str">
        <f>HYPERLINK("http://dx.doi.org/10.1080/23302674.2020.1753127","http://dx.doi.org/10.1080/23302674.2020.1753127")</f>
        <v>http://dx.doi.org/10.1080/23302674.2020.1753127</v>
      </c>
      <c r="AH102" s="1" t="s">
        <v>48</v>
      </c>
      <c r="AI102" s="1" t="s">
        <v>48</v>
      </c>
      <c r="AJ102" s="1">
        <v>21</v>
      </c>
      <c r="AK102" s="1" t="s">
        <v>305</v>
      </c>
      <c r="AL102" s="1" t="s">
        <v>67</v>
      </c>
      <c r="AM102" s="1" t="s">
        <v>306</v>
      </c>
      <c r="AN102" s="1" t="s">
        <v>48</v>
      </c>
      <c r="AO102" s="1" t="s">
        <v>48</v>
      </c>
      <c r="AP102" s="1" t="s">
        <v>48</v>
      </c>
      <c r="AQ102" s="1" t="s">
        <v>48</v>
      </c>
      <c r="AR102" s="1" t="s">
        <v>10610</v>
      </c>
    </row>
    <row r="103" spans="1:44" x14ac:dyDescent="0.45">
      <c r="A103" s="1" t="s">
        <v>3235</v>
      </c>
      <c r="B103" s="1" t="s">
        <v>9039</v>
      </c>
      <c r="C103" s="1" t="s">
        <v>571</v>
      </c>
      <c r="D103" s="1" t="s">
        <v>52</v>
      </c>
      <c r="E103" s="1" t="s">
        <v>53</v>
      </c>
      <c r="F103" s="1" t="s">
        <v>9040</v>
      </c>
      <c r="G103" s="1" t="s">
        <v>58</v>
      </c>
      <c r="H103" s="1" t="s">
        <v>9041</v>
      </c>
      <c r="I103" s="1">
        <v>51</v>
      </c>
      <c r="J103" s="1">
        <v>17</v>
      </c>
      <c r="K103" s="1">
        <v>3</v>
      </c>
      <c r="L103" s="1">
        <v>22</v>
      </c>
      <c r="M103" s="1" t="s">
        <v>572</v>
      </c>
      <c r="N103" s="1" t="s">
        <v>573</v>
      </c>
      <c r="O103" s="1" t="s">
        <v>574</v>
      </c>
      <c r="P103" s="1" t="s">
        <v>575</v>
      </c>
      <c r="Q103" s="1" t="s">
        <v>8620</v>
      </c>
      <c r="R103" s="1" t="s">
        <v>48</v>
      </c>
      <c r="S103" s="1" t="s">
        <v>577</v>
      </c>
      <c r="T103" s="1" t="s">
        <v>578</v>
      </c>
      <c r="U103" s="1" t="s">
        <v>10622</v>
      </c>
      <c r="V103" s="1">
        <v>2021</v>
      </c>
      <c r="W103" s="1">
        <v>55</v>
      </c>
      <c r="X103" s="1" t="s">
        <v>48</v>
      </c>
      <c r="Y103" s="1" t="s">
        <v>48</v>
      </c>
      <c r="Z103" s="1" t="s">
        <v>1913</v>
      </c>
      <c r="AA103" s="1" t="s">
        <v>48</v>
      </c>
      <c r="AB103" s="1" t="s">
        <v>48</v>
      </c>
      <c r="AC103" s="1" t="s">
        <v>9042</v>
      </c>
      <c r="AD103" s="1" t="s">
        <v>9043</v>
      </c>
      <c r="AE103" s="1" t="s">
        <v>48</v>
      </c>
      <c r="AF103" s="1" t="s">
        <v>9044</v>
      </c>
      <c r="AG103" s="1" t="str">
        <f>HYPERLINK("http://dx.doi.org/10.1051/ro/2020112","http://dx.doi.org/10.1051/ro/2020112")</f>
        <v>http://dx.doi.org/10.1051/ro/2020112</v>
      </c>
      <c r="AH103" s="1" t="s">
        <v>48</v>
      </c>
      <c r="AI103" s="1" t="s">
        <v>48</v>
      </c>
      <c r="AJ103" s="1">
        <v>17</v>
      </c>
      <c r="AK103" s="1" t="s">
        <v>580</v>
      </c>
      <c r="AL103" s="1" t="s">
        <v>67</v>
      </c>
      <c r="AM103" s="1" t="s">
        <v>580</v>
      </c>
      <c r="AN103" s="1" t="s">
        <v>48</v>
      </c>
      <c r="AO103" s="1" t="s">
        <v>9045</v>
      </c>
      <c r="AP103" s="1" t="s">
        <v>48</v>
      </c>
      <c r="AQ103" s="1" t="s">
        <v>48</v>
      </c>
      <c r="AR103" s="1" t="s">
        <v>10610</v>
      </c>
    </row>
    <row r="104" spans="1:44" x14ac:dyDescent="0.45">
      <c r="A104" s="1" t="s">
        <v>8941</v>
      </c>
      <c r="B104" s="1" t="s">
        <v>8942</v>
      </c>
      <c r="C104" s="1" t="s">
        <v>8943</v>
      </c>
      <c r="D104" s="1" t="s">
        <v>52</v>
      </c>
      <c r="E104" s="1" t="s">
        <v>53</v>
      </c>
      <c r="F104" s="1" t="s">
        <v>8944</v>
      </c>
      <c r="G104" s="1" t="s">
        <v>58</v>
      </c>
      <c r="H104" s="1" t="s">
        <v>8945</v>
      </c>
      <c r="I104" s="1">
        <v>79</v>
      </c>
      <c r="J104" s="1">
        <v>7</v>
      </c>
      <c r="K104" s="1">
        <v>1</v>
      </c>
      <c r="L104" s="1">
        <v>3</v>
      </c>
      <c r="M104" s="1" t="s">
        <v>1465</v>
      </c>
      <c r="N104" s="1" t="s">
        <v>504</v>
      </c>
      <c r="O104" s="1" t="s">
        <v>8946</v>
      </c>
      <c r="P104" s="1" t="s">
        <v>8947</v>
      </c>
      <c r="Q104" s="1" t="s">
        <v>8948</v>
      </c>
      <c r="R104" s="1" t="s">
        <v>48</v>
      </c>
      <c r="S104" s="1" t="s">
        <v>8949</v>
      </c>
      <c r="T104" s="1" t="s">
        <v>8950</v>
      </c>
      <c r="U104" s="1" t="s">
        <v>352</v>
      </c>
      <c r="V104" s="1">
        <v>2021</v>
      </c>
      <c r="W104" s="1">
        <v>53</v>
      </c>
      <c r="X104" s="1">
        <v>6</v>
      </c>
      <c r="Y104" s="1" t="s">
        <v>48</v>
      </c>
      <c r="Z104" s="1" t="s">
        <v>48</v>
      </c>
      <c r="AA104" s="1" t="s">
        <v>48</v>
      </c>
      <c r="AB104" s="1" t="s">
        <v>48</v>
      </c>
      <c r="AC104" s="1">
        <v>856</v>
      </c>
      <c r="AD104" s="1">
        <v>867</v>
      </c>
      <c r="AE104" s="1" t="s">
        <v>48</v>
      </c>
      <c r="AF104" s="1" t="s">
        <v>8951</v>
      </c>
      <c r="AG104" s="1" t="str">
        <f>HYPERLINK("http://dx.doi.org/10.1017/S0021932020000577","http://dx.doi.org/10.1017/S0021932020000577")</f>
        <v>http://dx.doi.org/10.1017/S0021932020000577</v>
      </c>
      <c r="AH104" s="1" t="s">
        <v>48</v>
      </c>
      <c r="AI104" s="1" t="s">
        <v>48</v>
      </c>
      <c r="AJ104" s="1">
        <v>12</v>
      </c>
      <c r="AK104" s="1" t="s">
        <v>8952</v>
      </c>
      <c r="AL104" s="1" t="s">
        <v>106</v>
      </c>
      <c r="AM104" s="1" t="s">
        <v>8953</v>
      </c>
      <c r="AN104" s="1">
        <v>33054874</v>
      </c>
      <c r="AO104" s="1" t="s">
        <v>48</v>
      </c>
      <c r="AP104" s="1" t="s">
        <v>48</v>
      </c>
      <c r="AQ104" s="1" t="s">
        <v>48</v>
      </c>
      <c r="AR104" s="1" t="s">
        <v>10610</v>
      </c>
    </row>
    <row r="105" spans="1:44" x14ac:dyDescent="0.45">
      <c r="A105" s="1" t="s">
        <v>8872</v>
      </c>
      <c r="B105" s="1" t="s">
        <v>8954</v>
      </c>
      <c r="C105" s="1" t="s">
        <v>8874</v>
      </c>
      <c r="D105" s="1" t="s">
        <v>52</v>
      </c>
      <c r="E105" s="1" t="s">
        <v>585</v>
      </c>
      <c r="F105" s="1" t="s">
        <v>8886</v>
      </c>
      <c r="G105" s="1" t="s">
        <v>58</v>
      </c>
      <c r="H105" s="1" t="s">
        <v>8876</v>
      </c>
      <c r="I105" s="1">
        <v>13</v>
      </c>
      <c r="J105" s="1">
        <v>0</v>
      </c>
      <c r="K105" s="1">
        <v>1</v>
      </c>
      <c r="L105" s="1">
        <v>2</v>
      </c>
      <c r="M105" s="1" t="s">
        <v>1805</v>
      </c>
      <c r="N105" s="1" t="s">
        <v>146</v>
      </c>
      <c r="O105" s="1" t="s">
        <v>1806</v>
      </c>
      <c r="P105" s="1" t="s">
        <v>8877</v>
      </c>
      <c r="Q105" s="1" t="s">
        <v>8878</v>
      </c>
      <c r="R105" s="1" t="s">
        <v>8879</v>
      </c>
      <c r="S105" s="1" t="s">
        <v>8880</v>
      </c>
      <c r="T105" s="1" t="s">
        <v>48</v>
      </c>
      <c r="U105" s="1" t="s">
        <v>48</v>
      </c>
      <c r="V105" s="1">
        <v>2021</v>
      </c>
      <c r="W105" s="1" t="s">
        <v>48</v>
      </c>
      <c r="X105" s="1" t="s">
        <v>48</v>
      </c>
      <c r="Y105" s="1" t="s">
        <v>48</v>
      </c>
      <c r="Z105" s="1" t="s">
        <v>48</v>
      </c>
      <c r="AA105" s="1" t="s">
        <v>48</v>
      </c>
      <c r="AB105" s="1" t="s">
        <v>48</v>
      </c>
      <c r="AC105" s="1">
        <v>21</v>
      </c>
      <c r="AD105" s="1">
        <v>30</v>
      </c>
      <c r="AE105" s="1" t="s">
        <v>48</v>
      </c>
      <c r="AF105" s="1" t="s">
        <v>48</v>
      </c>
      <c r="AG105" s="1" t="s">
        <v>48</v>
      </c>
      <c r="AH105" s="1" t="s">
        <v>8882</v>
      </c>
      <c r="AI105" s="1" t="s">
        <v>48</v>
      </c>
      <c r="AJ105" s="1">
        <v>10</v>
      </c>
      <c r="AK105" s="1" t="s">
        <v>8883</v>
      </c>
      <c r="AL105" s="1" t="s">
        <v>592</v>
      </c>
      <c r="AM105" s="1" t="s">
        <v>8884</v>
      </c>
      <c r="AN105" s="1" t="s">
        <v>48</v>
      </c>
      <c r="AO105" s="1" t="s">
        <v>48</v>
      </c>
      <c r="AP105" s="1" t="s">
        <v>48</v>
      </c>
      <c r="AQ105" s="1" t="s">
        <v>48</v>
      </c>
      <c r="AR105" s="1" t="s">
        <v>10610</v>
      </c>
    </row>
    <row r="106" spans="1:44" x14ac:dyDescent="0.45">
      <c r="A106" s="1" t="s">
        <v>8979</v>
      </c>
      <c r="B106" s="1" t="s">
        <v>8980</v>
      </c>
      <c r="C106" s="1" t="s">
        <v>8981</v>
      </c>
      <c r="D106" s="1" t="s">
        <v>52</v>
      </c>
      <c r="E106" s="1" t="s">
        <v>53</v>
      </c>
      <c r="F106" s="1" t="s">
        <v>8982</v>
      </c>
      <c r="G106" s="1" t="s">
        <v>58</v>
      </c>
      <c r="H106" s="1" t="s">
        <v>1804</v>
      </c>
      <c r="I106" s="1">
        <v>29</v>
      </c>
      <c r="J106" s="1">
        <v>0</v>
      </c>
      <c r="K106" s="1">
        <v>1</v>
      </c>
      <c r="L106" s="1">
        <v>4</v>
      </c>
      <c r="M106" s="1" t="s">
        <v>1141</v>
      </c>
      <c r="N106" s="1" t="s">
        <v>1142</v>
      </c>
      <c r="O106" s="1" t="s">
        <v>1143</v>
      </c>
      <c r="P106" s="1" t="s">
        <v>8983</v>
      </c>
      <c r="Q106" s="1" t="s">
        <v>8984</v>
      </c>
      <c r="R106" s="1" t="s">
        <v>48</v>
      </c>
      <c r="S106" s="1" t="s">
        <v>8985</v>
      </c>
      <c r="T106" s="1" t="s">
        <v>8986</v>
      </c>
      <c r="U106" s="1" t="s">
        <v>1846</v>
      </c>
      <c r="V106" s="1">
        <v>2021</v>
      </c>
      <c r="W106" s="1">
        <v>12</v>
      </c>
      <c r="X106" s="1">
        <v>2</v>
      </c>
      <c r="Y106" s="1" t="s">
        <v>48</v>
      </c>
      <c r="Z106" s="1" t="s">
        <v>48</v>
      </c>
      <c r="AA106" s="1" t="s">
        <v>48</v>
      </c>
      <c r="AB106" s="1" t="s">
        <v>48</v>
      </c>
      <c r="AC106" s="1">
        <v>110</v>
      </c>
      <c r="AD106" s="1">
        <v>123</v>
      </c>
      <c r="AE106" s="1" t="s">
        <v>48</v>
      </c>
      <c r="AF106" s="1" t="s">
        <v>8987</v>
      </c>
      <c r="AG106" s="1" t="str">
        <f>HYPERLINK("http://dx.doi.org/10.4018/IJABIM.20210401.oa7","http://dx.doi.org/10.4018/IJABIM.20210401.oa7")</f>
        <v>http://dx.doi.org/10.4018/IJABIM.20210401.oa7</v>
      </c>
      <c r="AH106" s="1" t="s">
        <v>48</v>
      </c>
      <c r="AI106" s="1" t="s">
        <v>48</v>
      </c>
      <c r="AJ106" s="1">
        <v>14</v>
      </c>
      <c r="AK106" s="1" t="s">
        <v>1630</v>
      </c>
      <c r="AL106" s="1" t="s">
        <v>124</v>
      </c>
      <c r="AM106" s="1" t="s">
        <v>510</v>
      </c>
      <c r="AN106" s="1" t="s">
        <v>48</v>
      </c>
      <c r="AO106" s="1" t="s">
        <v>125</v>
      </c>
      <c r="AP106" s="1" t="s">
        <v>48</v>
      </c>
      <c r="AQ106" s="1" t="s">
        <v>48</v>
      </c>
      <c r="AR106" s="1" t="s">
        <v>10610</v>
      </c>
    </row>
    <row r="107" spans="1:44" x14ac:dyDescent="0.45">
      <c r="A107" s="1" t="s">
        <v>8988</v>
      </c>
      <c r="B107" s="1" t="s">
        <v>8989</v>
      </c>
      <c r="C107" s="1" t="s">
        <v>5638</v>
      </c>
      <c r="D107" s="1" t="s">
        <v>52</v>
      </c>
      <c r="E107" s="1" t="s">
        <v>53</v>
      </c>
      <c r="F107" s="1" t="s">
        <v>8990</v>
      </c>
      <c r="G107" s="1" t="s">
        <v>58</v>
      </c>
      <c r="H107" s="1" t="s">
        <v>8991</v>
      </c>
      <c r="I107" s="1">
        <v>23</v>
      </c>
      <c r="J107" s="1">
        <v>0</v>
      </c>
      <c r="K107" s="1">
        <v>0</v>
      </c>
      <c r="L107" s="1">
        <v>0</v>
      </c>
      <c r="M107" s="1" t="s">
        <v>5642</v>
      </c>
      <c r="N107" s="1" t="s">
        <v>5643</v>
      </c>
      <c r="O107" s="1" t="s">
        <v>5644</v>
      </c>
      <c r="P107" s="1" t="s">
        <v>5645</v>
      </c>
      <c r="Q107" s="1" t="s">
        <v>48</v>
      </c>
      <c r="R107" s="1" t="s">
        <v>48</v>
      </c>
      <c r="S107" s="1" t="s">
        <v>5646</v>
      </c>
      <c r="T107" s="1" t="s">
        <v>5647</v>
      </c>
      <c r="U107" s="1" t="s">
        <v>48</v>
      </c>
      <c r="V107" s="1">
        <v>2021</v>
      </c>
      <c r="W107" s="1">
        <v>59</v>
      </c>
      <c r="X107" s="1">
        <v>2</v>
      </c>
      <c r="Y107" s="1" t="s">
        <v>48</v>
      </c>
      <c r="Z107" s="1" t="s">
        <v>48</v>
      </c>
      <c r="AA107" s="1" t="s">
        <v>48</v>
      </c>
      <c r="AB107" s="1" t="s">
        <v>48</v>
      </c>
      <c r="AC107" s="1">
        <v>171</v>
      </c>
      <c r="AD107" s="1">
        <v>177</v>
      </c>
      <c r="AE107" s="1" t="s">
        <v>48</v>
      </c>
      <c r="AF107" s="1" t="s">
        <v>8992</v>
      </c>
      <c r="AG107" s="1" t="str">
        <f>HYPERLINK("http://dx.doi.org/10.26720/anthro.20.10.12.1","http://dx.doi.org/10.26720/anthro.20.10.12.1")</f>
        <v>http://dx.doi.org/10.26720/anthro.20.10.12.1</v>
      </c>
      <c r="AH107" s="1" t="s">
        <v>48</v>
      </c>
      <c r="AI107" s="1" t="s">
        <v>48</v>
      </c>
      <c r="AJ107" s="1">
        <v>7</v>
      </c>
      <c r="AK107" s="1" t="s">
        <v>1616</v>
      </c>
      <c r="AL107" s="1" t="s">
        <v>124</v>
      </c>
      <c r="AM107" s="1" t="s">
        <v>1616</v>
      </c>
      <c r="AN107" s="1" t="s">
        <v>48</v>
      </c>
      <c r="AO107" s="1" t="s">
        <v>48</v>
      </c>
      <c r="AP107" s="1" t="s">
        <v>48</v>
      </c>
      <c r="AQ107" s="1" t="s">
        <v>48</v>
      </c>
      <c r="AR107" s="1" t="s">
        <v>10610</v>
      </c>
    </row>
    <row r="108" spans="1:44" x14ac:dyDescent="0.45">
      <c r="A108" s="1" t="s">
        <v>9008</v>
      </c>
      <c r="B108" s="1" t="s">
        <v>9009</v>
      </c>
      <c r="C108" s="1" t="s">
        <v>7736</v>
      </c>
      <c r="D108" s="1" t="s">
        <v>52</v>
      </c>
      <c r="E108" s="1" t="s">
        <v>53</v>
      </c>
      <c r="F108" s="1" t="s">
        <v>9010</v>
      </c>
      <c r="G108" s="1" t="s">
        <v>58</v>
      </c>
      <c r="H108" s="1" t="s">
        <v>9011</v>
      </c>
      <c r="I108" s="1">
        <v>68</v>
      </c>
      <c r="J108" s="1">
        <v>9</v>
      </c>
      <c r="K108" s="1">
        <v>2</v>
      </c>
      <c r="L108" s="1">
        <v>28</v>
      </c>
      <c r="M108" s="1" t="s">
        <v>2607</v>
      </c>
      <c r="N108" s="1" t="s">
        <v>361</v>
      </c>
      <c r="O108" s="1" t="s">
        <v>2608</v>
      </c>
      <c r="P108" s="1" t="s">
        <v>48</v>
      </c>
      <c r="Q108" s="1" t="s">
        <v>7742</v>
      </c>
      <c r="R108" s="1" t="s">
        <v>48</v>
      </c>
      <c r="S108" s="1" t="s">
        <v>7743</v>
      </c>
      <c r="T108" s="1" t="s">
        <v>7744</v>
      </c>
      <c r="U108" s="1" t="s">
        <v>10628</v>
      </c>
      <c r="V108" s="1">
        <v>2021</v>
      </c>
      <c r="W108" s="1">
        <v>11</v>
      </c>
      <c r="X108" s="1">
        <v>53</v>
      </c>
      <c r="Y108" s="1" t="s">
        <v>48</v>
      </c>
      <c r="Z108" s="1" t="s">
        <v>48</v>
      </c>
      <c r="AA108" s="1" t="s">
        <v>48</v>
      </c>
      <c r="AB108" s="1" t="s">
        <v>48</v>
      </c>
      <c r="AC108" s="1">
        <v>33500</v>
      </c>
      <c r="AD108" s="1">
        <v>33510</v>
      </c>
      <c r="AE108" s="1" t="s">
        <v>48</v>
      </c>
      <c r="AF108" s="1" t="s">
        <v>9012</v>
      </c>
      <c r="AG108" s="1" t="str">
        <f>HYPERLINK("http://dx.doi.org/10.1039/d1ra06137b","http://dx.doi.org/10.1039/d1ra06137b")</f>
        <v>http://dx.doi.org/10.1039/d1ra06137b</v>
      </c>
      <c r="AH108" s="1" t="s">
        <v>48</v>
      </c>
      <c r="AI108" s="1" t="s">
        <v>48</v>
      </c>
      <c r="AJ108" s="1">
        <v>11</v>
      </c>
      <c r="AK108" s="1" t="s">
        <v>2292</v>
      </c>
      <c r="AL108" s="1" t="s">
        <v>67</v>
      </c>
      <c r="AM108" s="1" t="s">
        <v>2293</v>
      </c>
      <c r="AN108" s="1">
        <v>35497535</v>
      </c>
      <c r="AO108" s="1" t="s">
        <v>366</v>
      </c>
      <c r="AP108" s="1" t="s">
        <v>48</v>
      </c>
      <c r="AQ108" s="1" t="s">
        <v>48</v>
      </c>
      <c r="AR108" s="1" t="s">
        <v>10610</v>
      </c>
    </row>
    <row r="109" spans="1:44" x14ac:dyDescent="0.45">
      <c r="A109" s="1" t="s">
        <v>9013</v>
      </c>
      <c r="B109" s="1" t="s">
        <v>9014</v>
      </c>
      <c r="C109" s="1" t="s">
        <v>2312</v>
      </c>
      <c r="D109" s="1" t="s">
        <v>52</v>
      </c>
      <c r="E109" s="1" t="s">
        <v>53</v>
      </c>
      <c r="F109" s="1" t="s">
        <v>9015</v>
      </c>
      <c r="G109" s="1" t="s">
        <v>77</v>
      </c>
      <c r="H109" s="1" t="s">
        <v>2126</v>
      </c>
      <c r="I109" s="1">
        <v>37</v>
      </c>
      <c r="J109" s="1">
        <v>28</v>
      </c>
      <c r="K109" s="1">
        <v>0</v>
      </c>
      <c r="L109" s="1">
        <v>32</v>
      </c>
      <c r="M109" s="1" t="s">
        <v>60</v>
      </c>
      <c r="N109" s="1" t="s">
        <v>158</v>
      </c>
      <c r="O109" s="1" t="s">
        <v>159</v>
      </c>
      <c r="P109" s="1" t="s">
        <v>2314</v>
      </c>
      <c r="Q109" s="1" t="s">
        <v>2315</v>
      </c>
      <c r="R109" s="1" t="s">
        <v>48</v>
      </c>
      <c r="S109" s="1" t="s">
        <v>2316</v>
      </c>
      <c r="T109" s="1" t="s">
        <v>2317</v>
      </c>
      <c r="U109" s="1" t="s">
        <v>386</v>
      </c>
      <c r="V109" s="1">
        <v>2022</v>
      </c>
      <c r="W109" s="1">
        <v>343</v>
      </c>
      <c r="X109" s="1" t="s">
        <v>48</v>
      </c>
      <c r="Y109" s="1" t="s">
        <v>48</v>
      </c>
      <c r="Z109" s="1" t="s">
        <v>48</v>
      </c>
      <c r="AA109" s="1" t="s">
        <v>48</v>
      </c>
      <c r="AB109" s="1" t="s">
        <v>48</v>
      </c>
      <c r="AC109" s="1" t="s">
        <v>48</v>
      </c>
      <c r="AD109" s="1" t="s">
        <v>48</v>
      </c>
      <c r="AE109" s="1">
        <v>126093</v>
      </c>
      <c r="AF109" s="1" t="s">
        <v>9016</v>
      </c>
      <c r="AG109" s="1" t="str">
        <f>HYPERLINK("http://dx.doi.org/10.1016/j.biortech.2021.126093","http://dx.doi.org/10.1016/j.biortech.2021.126093")</f>
        <v>http://dx.doi.org/10.1016/j.biortech.2021.126093</v>
      </c>
      <c r="AH109" s="1" t="s">
        <v>48</v>
      </c>
      <c r="AI109" s="1" t="s">
        <v>10615</v>
      </c>
      <c r="AJ109" s="1">
        <v>10</v>
      </c>
      <c r="AK109" s="1" t="s">
        <v>2319</v>
      </c>
      <c r="AL109" s="1" t="s">
        <v>67</v>
      </c>
      <c r="AM109" s="1" t="s">
        <v>2320</v>
      </c>
      <c r="AN109" s="1">
        <v>34624476</v>
      </c>
      <c r="AO109" s="1" t="s">
        <v>48</v>
      </c>
      <c r="AP109" s="1" t="s">
        <v>48</v>
      </c>
      <c r="AQ109" s="1" t="s">
        <v>48</v>
      </c>
      <c r="AR109" s="1" t="s">
        <v>10610</v>
      </c>
    </row>
    <row r="110" spans="1:44" x14ac:dyDescent="0.45">
      <c r="A110" s="1" t="s">
        <v>9017</v>
      </c>
      <c r="B110" s="1" t="s">
        <v>9018</v>
      </c>
      <c r="C110" s="1" t="s">
        <v>9019</v>
      </c>
      <c r="D110" s="1" t="s">
        <v>52</v>
      </c>
      <c r="E110" s="1" t="s">
        <v>53</v>
      </c>
      <c r="F110" s="1" t="s">
        <v>9020</v>
      </c>
      <c r="G110" s="1" t="s">
        <v>58</v>
      </c>
      <c r="H110" s="1" t="s">
        <v>9021</v>
      </c>
      <c r="I110" s="1">
        <v>28</v>
      </c>
      <c r="J110" s="1">
        <v>6</v>
      </c>
      <c r="K110" s="1">
        <v>1</v>
      </c>
      <c r="L110" s="1">
        <v>4</v>
      </c>
      <c r="M110" s="1" t="s">
        <v>748</v>
      </c>
      <c r="N110" s="1" t="s">
        <v>749</v>
      </c>
      <c r="O110" s="1" t="s">
        <v>750</v>
      </c>
      <c r="P110" s="1" t="s">
        <v>9022</v>
      </c>
      <c r="Q110" s="1" t="s">
        <v>9023</v>
      </c>
      <c r="R110" s="1" t="s">
        <v>48</v>
      </c>
      <c r="S110" s="1" t="s">
        <v>9024</v>
      </c>
      <c r="T110" s="1" t="s">
        <v>9025</v>
      </c>
      <c r="U110" s="1" t="s">
        <v>458</v>
      </c>
      <c r="V110" s="1">
        <v>2021</v>
      </c>
      <c r="W110" s="1">
        <v>13</v>
      </c>
      <c r="X110" s="1">
        <v>5</v>
      </c>
      <c r="Y110" s="1" t="s">
        <v>48</v>
      </c>
      <c r="Z110" s="1" t="s">
        <v>48</v>
      </c>
      <c r="AA110" s="1" t="s">
        <v>48</v>
      </c>
      <c r="AB110" s="1" t="s">
        <v>48</v>
      </c>
      <c r="AC110" s="1" t="s">
        <v>48</v>
      </c>
      <c r="AD110" s="1" t="s">
        <v>48</v>
      </c>
      <c r="AE110" s="1">
        <v>2150068</v>
      </c>
      <c r="AF110" s="1" t="s">
        <v>9026</v>
      </c>
      <c r="AG110" s="1" t="str">
        <f>HYPERLINK("http://dx.doi.org/10.1142/S1793830921500683","http://dx.doi.org/10.1142/S1793830921500683")</f>
        <v>http://dx.doi.org/10.1142/S1793830921500683</v>
      </c>
      <c r="AH110" s="1" t="s">
        <v>48</v>
      </c>
      <c r="AI110" s="1" t="s">
        <v>48</v>
      </c>
      <c r="AJ110" s="1">
        <v>16</v>
      </c>
      <c r="AK110" s="1" t="s">
        <v>260</v>
      </c>
      <c r="AL110" s="1" t="s">
        <v>124</v>
      </c>
      <c r="AM110" s="1" t="s">
        <v>137</v>
      </c>
      <c r="AN110" s="1" t="s">
        <v>48</v>
      </c>
      <c r="AO110" s="1" t="s">
        <v>48</v>
      </c>
      <c r="AP110" s="1" t="s">
        <v>48</v>
      </c>
      <c r="AQ110" s="1" t="s">
        <v>48</v>
      </c>
      <c r="AR110" s="1" t="s">
        <v>10610</v>
      </c>
    </row>
    <row r="111" spans="1:44" x14ac:dyDescent="0.45">
      <c r="A111" s="1" t="s">
        <v>2504</v>
      </c>
      <c r="B111" s="1" t="s">
        <v>8955</v>
      </c>
      <c r="C111" s="1" t="s">
        <v>8956</v>
      </c>
      <c r="D111" s="1" t="s">
        <v>52</v>
      </c>
      <c r="E111" s="1" t="s">
        <v>53</v>
      </c>
      <c r="F111" s="1" t="s">
        <v>8957</v>
      </c>
      <c r="G111" s="1" t="s">
        <v>58</v>
      </c>
      <c r="H111" s="1" t="s">
        <v>8958</v>
      </c>
      <c r="I111" s="1">
        <v>90</v>
      </c>
      <c r="J111" s="1">
        <v>3</v>
      </c>
      <c r="K111" s="1">
        <v>4</v>
      </c>
      <c r="L111" s="1">
        <v>12</v>
      </c>
      <c r="M111" s="1" t="s">
        <v>252</v>
      </c>
      <c r="N111" s="1" t="s">
        <v>253</v>
      </c>
      <c r="O111" s="1" t="s">
        <v>254</v>
      </c>
      <c r="P111" s="1" t="s">
        <v>8959</v>
      </c>
      <c r="Q111" s="1" t="s">
        <v>8960</v>
      </c>
      <c r="R111" s="1" t="s">
        <v>48</v>
      </c>
      <c r="S111" s="1" t="s">
        <v>8961</v>
      </c>
      <c r="T111" s="1" t="s">
        <v>8962</v>
      </c>
      <c r="U111" s="1" t="s">
        <v>86</v>
      </c>
      <c r="V111" s="1">
        <v>2021</v>
      </c>
      <c r="W111" s="1">
        <v>127</v>
      </c>
      <c r="X111" s="1">
        <v>12</v>
      </c>
      <c r="Y111" s="1" t="s">
        <v>48</v>
      </c>
      <c r="Z111" s="1" t="s">
        <v>48</v>
      </c>
      <c r="AA111" s="1" t="s">
        <v>48</v>
      </c>
      <c r="AB111" s="1" t="s">
        <v>48</v>
      </c>
      <c r="AC111" s="1" t="s">
        <v>48</v>
      </c>
      <c r="AD111" s="1" t="s">
        <v>48</v>
      </c>
      <c r="AE111" s="1">
        <v>168</v>
      </c>
      <c r="AF111" s="1" t="s">
        <v>8963</v>
      </c>
      <c r="AG111" s="1" t="str">
        <f>HYPERLINK("http://dx.doi.org/10.1007/s00340-021-07704-8","http://dx.doi.org/10.1007/s00340-021-07704-8")</f>
        <v>http://dx.doi.org/10.1007/s00340-021-07704-8</v>
      </c>
      <c r="AH111" s="1" t="s">
        <v>48</v>
      </c>
      <c r="AI111" s="1" t="s">
        <v>48</v>
      </c>
      <c r="AJ111" s="1">
        <v>16</v>
      </c>
      <c r="AK111" s="1" t="s">
        <v>754</v>
      </c>
      <c r="AL111" s="1" t="s">
        <v>67</v>
      </c>
      <c r="AM111" s="1" t="s">
        <v>755</v>
      </c>
      <c r="AN111" s="1" t="s">
        <v>48</v>
      </c>
      <c r="AO111" s="1" t="s">
        <v>48</v>
      </c>
      <c r="AP111" s="1" t="s">
        <v>48</v>
      </c>
      <c r="AQ111" s="1" t="s">
        <v>48</v>
      </c>
      <c r="AR111" s="1" t="s">
        <v>10610</v>
      </c>
    </row>
    <row r="112" spans="1:44" x14ac:dyDescent="0.45">
      <c r="A112" s="1" t="s">
        <v>8872</v>
      </c>
      <c r="B112" s="1" t="s">
        <v>8964</v>
      </c>
      <c r="C112" s="1" t="s">
        <v>8874</v>
      </c>
      <c r="D112" s="1" t="s">
        <v>52</v>
      </c>
      <c r="E112" s="1" t="s">
        <v>585</v>
      </c>
      <c r="F112" s="1" t="s">
        <v>8886</v>
      </c>
      <c r="G112" s="1" t="s">
        <v>58</v>
      </c>
      <c r="H112" s="1" t="s">
        <v>8876</v>
      </c>
      <c r="I112" s="1">
        <v>6</v>
      </c>
      <c r="J112" s="1">
        <v>0</v>
      </c>
      <c r="K112" s="1">
        <v>1</v>
      </c>
      <c r="L112" s="1">
        <v>1</v>
      </c>
      <c r="M112" s="1" t="s">
        <v>1805</v>
      </c>
      <c r="N112" s="1" t="s">
        <v>146</v>
      </c>
      <c r="O112" s="1" t="s">
        <v>1806</v>
      </c>
      <c r="P112" s="1" t="s">
        <v>8877</v>
      </c>
      <c r="Q112" s="1" t="s">
        <v>8878</v>
      </c>
      <c r="R112" s="1" t="s">
        <v>8879</v>
      </c>
      <c r="S112" s="1" t="s">
        <v>8880</v>
      </c>
      <c r="T112" s="1" t="s">
        <v>48</v>
      </c>
      <c r="U112" s="1" t="s">
        <v>48</v>
      </c>
      <c r="V112" s="1">
        <v>2021</v>
      </c>
      <c r="W112" s="1" t="s">
        <v>48</v>
      </c>
      <c r="X112" s="1" t="s">
        <v>48</v>
      </c>
      <c r="Y112" s="1" t="s">
        <v>48</v>
      </c>
      <c r="Z112" s="1" t="s">
        <v>48</v>
      </c>
      <c r="AA112" s="1" t="s">
        <v>48</v>
      </c>
      <c r="AB112" s="1" t="s">
        <v>48</v>
      </c>
      <c r="AC112" s="1">
        <v>70</v>
      </c>
      <c r="AD112" s="1">
        <v>82</v>
      </c>
      <c r="AE112" s="1" t="s">
        <v>48</v>
      </c>
      <c r="AF112" s="1" t="s">
        <v>48</v>
      </c>
      <c r="AG112" s="1" t="s">
        <v>48</v>
      </c>
      <c r="AH112" s="1" t="s">
        <v>8882</v>
      </c>
      <c r="AI112" s="1" t="s">
        <v>48</v>
      </c>
      <c r="AJ112" s="1">
        <v>13</v>
      </c>
      <c r="AK112" s="1" t="s">
        <v>8883</v>
      </c>
      <c r="AL112" s="1" t="s">
        <v>592</v>
      </c>
      <c r="AM112" s="1" t="s">
        <v>8884</v>
      </c>
      <c r="AN112" s="1" t="s">
        <v>48</v>
      </c>
      <c r="AO112" s="1" t="s">
        <v>48</v>
      </c>
      <c r="AP112" s="1" t="s">
        <v>48</v>
      </c>
      <c r="AQ112" s="1" t="s">
        <v>48</v>
      </c>
      <c r="AR112" s="1" t="s">
        <v>10610</v>
      </c>
    </row>
    <row r="113" spans="1:44" x14ac:dyDescent="0.45">
      <c r="A113" s="1" t="s">
        <v>8872</v>
      </c>
      <c r="B113" s="1" t="s">
        <v>8965</v>
      </c>
      <c r="C113" s="1" t="s">
        <v>8874</v>
      </c>
      <c r="D113" s="1" t="s">
        <v>52</v>
      </c>
      <c r="E113" s="1" t="s">
        <v>1802</v>
      </c>
      <c r="F113" s="1" t="s">
        <v>8886</v>
      </c>
      <c r="G113" s="1" t="s">
        <v>58</v>
      </c>
      <c r="H113" s="1" t="s">
        <v>8876</v>
      </c>
      <c r="I113" s="1">
        <v>0</v>
      </c>
      <c r="J113" s="1">
        <v>0</v>
      </c>
      <c r="K113" s="1">
        <v>0</v>
      </c>
      <c r="L113" s="1">
        <v>0</v>
      </c>
      <c r="M113" s="1" t="s">
        <v>1805</v>
      </c>
      <c r="N113" s="1" t="s">
        <v>146</v>
      </c>
      <c r="O113" s="1" t="s">
        <v>1806</v>
      </c>
      <c r="P113" s="1" t="s">
        <v>8877</v>
      </c>
      <c r="Q113" s="1" t="s">
        <v>8878</v>
      </c>
      <c r="R113" s="1" t="s">
        <v>8879</v>
      </c>
      <c r="S113" s="1" t="s">
        <v>8880</v>
      </c>
      <c r="T113" s="1" t="s">
        <v>48</v>
      </c>
      <c r="U113" s="1" t="s">
        <v>48</v>
      </c>
      <c r="V113" s="1">
        <v>2021</v>
      </c>
      <c r="W113" s="1" t="s">
        <v>48</v>
      </c>
      <c r="X113" s="1" t="s">
        <v>48</v>
      </c>
      <c r="Y113" s="1" t="s">
        <v>48</v>
      </c>
      <c r="Z113" s="1" t="s">
        <v>48</v>
      </c>
      <c r="AA113" s="1" t="s">
        <v>48</v>
      </c>
      <c r="AB113" s="1" t="s">
        <v>48</v>
      </c>
      <c r="AC113" s="1">
        <v>106</v>
      </c>
      <c r="AD113" s="1">
        <v>111</v>
      </c>
      <c r="AE113" s="1" t="s">
        <v>48</v>
      </c>
      <c r="AF113" s="1" t="s">
        <v>48</v>
      </c>
      <c r="AG113" s="1" t="s">
        <v>48</v>
      </c>
      <c r="AH113" s="1" t="s">
        <v>8882</v>
      </c>
      <c r="AI113" s="1" t="s">
        <v>48</v>
      </c>
      <c r="AJ113" s="1">
        <v>6</v>
      </c>
      <c r="AK113" s="1" t="s">
        <v>8883</v>
      </c>
      <c r="AL113" s="1" t="s">
        <v>592</v>
      </c>
      <c r="AM113" s="1" t="s">
        <v>8884</v>
      </c>
      <c r="AN113" s="1" t="s">
        <v>48</v>
      </c>
      <c r="AO113" s="1" t="s">
        <v>48</v>
      </c>
      <c r="AP113" s="1" t="s">
        <v>48</v>
      </c>
      <c r="AQ113" s="1" t="s">
        <v>48</v>
      </c>
      <c r="AR113" s="1" t="s">
        <v>10610</v>
      </c>
    </row>
    <row r="114" spans="1:44" x14ac:dyDescent="0.45">
      <c r="A114" s="1" t="s">
        <v>8918</v>
      </c>
      <c r="B114" s="1" t="s">
        <v>8919</v>
      </c>
      <c r="C114" s="1" t="s">
        <v>3113</v>
      </c>
      <c r="D114" s="1" t="s">
        <v>52</v>
      </c>
      <c r="E114" s="1" t="s">
        <v>3114</v>
      </c>
      <c r="F114" s="1" t="s">
        <v>8920</v>
      </c>
      <c r="G114" s="1" t="s">
        <v>58</v>
      </c>
      <c r="H114" s="1" t="s">
        <v>8921</v>
      </c>
      <c r="I114" s="1">
        <v>28</v>
      </c>
      <c r="J114" s="1">
        <v>4</v>
      </c>
      <c r="K114" s="1">
        <v>0</v>
      </c>
      <c r="L114" s="1">
        <v>0</v>
      </c>
      <c r="M114" s="1" t="s">
        <v>2283</v>
      </c>
      <c r="N114" s="1" t="s">
        <v>632</v>
      </c>
      <c r="O114" s="1" t="s">
        <v>2284</v>
      </c>
      <c r="P114" s="1" t="s">
        <v>3117</v>
      </c>
      <c r="Q114" s="1" t="s">
        <v>3118</v>
      </c>
      <c r="R114" s="1" t="s">
        <v>48</v>
      </c>
      <c r="S114" s="1" t="s">
        <v>3119</v>
      </c>
      <c r="T114" s="1" t="s">
        <v>3120</v>
      </c>
      <c r="U114" s="1" t="s">
        <v>162</v>
      </c>
      <c r="V114" s="1">
        <v>2021</v>
      </c>
      <c r="W114" s="1">
        <v>2021</v>
      </c>
      <c r="X114" s="1" t="s">
        <v>48</v>
      </c>
      <c r="Y114" s="1" t="s">
        <v>48</v>
      </c>
      <c r="Z114" s="1" t="s">
        <v>48</v>
      </c>
      <c r="AA114" s="1" t="s">
        <v>48</v>
      </c>
      <c r="AB114" s="1" t="s">
        <v>48</v>
      </c>
      <c r="AC114" s="1" t="s">
        <v>48</v>
      </c>
      <c r="AD114" s="1" t="s">
        <v>48</v>
      </c>
      <c r="AE114" s="1">
        <v>9289534</v>
      </c>
      <c r="AF114" s="1" t="s">
        <v>8922</v>
      </c>
      <c r="AG114" s="1" t="str">
        <f>HYPERLINK("http://dx.doi.org/10.1155/2021/9289534","http://dx.doi.org/10.1155/2021/9289534")</f>
        <v>http://dx.doi.org/10.1155/2021/9289534</v>
      </c>
      <c r="AH114" s="1" t="s">
        <v>48</v>
      </c>
      <c r="AI114" s="1" t="s">
        <v>48</v>
      </c>
      <c r="AJ114" s="1">
        <v>17</v>
      </c>
      <c r="AK114" s="1" t="s">
        <v>2292</v>
      </c>
      <c r="AL114" s="1" t="s">
        <v>67</v>
      </c>
      <c r="AM114" s="1" t="s">
        <v>2293</v>
      </c>
      <c r="AN114" s="1" t="s">
        <v>48</v>
      </c>
      <c r="AO114" s="1" t="s">
        <v>125</v>
      </c>
      <c r="AP114" s="1" t="s">
        <v>48</v>
      </c>
      <c r="AQ114" s="1" t="s">
        <v>48</v>
      </c>
      <c r="AR114" s="1" t="s">
        <v>10610</v>
      </c>
    </row>
    <row r="115" spans="1:44" x14ac:dyDescent="0.45">
      <c r="A115" s="1" t="s">
        <v>8923</v>
      </c>
      <c r="B115" s="1" t="s">
        <v>8924</v>
      </c>
      <c r="C115" s="1" t="s">
        <v>1401</v>
      </c>
      <c r="D115" s="1" t="s">
        <v>52</v>
      </c>
      <c r="E115" s="1" t="s">
        <v>53</v>
      </c>
      <c r="F115" s="1" t="s">
        <v>8925</v>
      </c>
      <c r="G115" s="1" t="s">
        <v>115</v>
      </c>
      <c r="H115" s="1" t="s">
        <v>8926</v>
      </c>
      <c r="I115" s="1">
        <v>97</v>
      </c>
      <c r="J115" s="1">
        <v>21</v>
      </c>
      <c r="K115" s="1">
        <v>6</v>
      </c>
      <c r="L115" s="1">
        <v>49</v>
      </c>
      <c r="M115" s="1" t="s">
        <v>1407</v>
      </c>
      <c r="N115" s="1" t="s">
        <v>632</v>
      </c>
      <c r="O115" s="1" t="s">
        <v>1408</v>
      </c>
      <c r="P115" s="1" t="s">
        <v>1409</v>
      </c>
      <c r="Q115" s="1" t="s">
        <v>1410</v>
      </c>
      <c r="R115" s="1" t="s">
        <v>48</v>
      </c>
      <c r="S115" s="1" t="s">
        <v>1411</v>
      </c>
      <c r="T115" s="1" t="s">
        <v>1412</v>
      </c>
      <c r="U115" s="1" t="s">
        <v>768</v>
      </c>
      <c r="V115" s="1">
        <v>2021</v>
      </c>
      <c r="W115" s="1">
        <v>296</v>
      </c>
      <c r="X115" s="1" t="s">
        <v>48</v>
      </c>
      <c r="Y115" s="1" t="s">
        <v>48</v>
      </c>
      <c r="Z115" s="1" t="s">
        <v>48</v>
      </c>
      <c r="AA115" s="1" t="s">
        <v>48</v>
      </c>
      <c r="AB115" s="1" t="s">
        <v>48</v>
      </c>
      <c r="AC115" s="1" t="s">
        <v>48</v>
      </c>
      <c r="AD115" s="1" t="s">
        <v>48</v>
      </c>
      <c r="AE115" s="1">
        <v>113056</v>
      </c>
      <c r="AF115" s="1" t="s">
        <v>8927</v>
      </c>
      <c r="AG115" s="1" t="str">
        <f>HYPERLINK("http://dx.doi.org/10.1016/j.jenvman.2021.113056","http://dx.doi.org/10.1016/j.jenvman.2021.113056")</f>
        <v>http://dx.doi.org/10.1016/j.jenvman.2021.113056</v>
      </c>
      <c r="AH115" s="1" t="s">
        <v>48</v>
      </c>
      <c r="AI115" s="1" t="s">
        <v>10623</v>
      </c>
      <c r="AJ115" s="1">
        <v>13</v>
      </c>
      <c r="AK115" s="1" t="s">
        <v>438</v>
      </c>
      <c r="AL115" s="1" t="s">
        <v>67</v>
      </c>
      <c r="AM115" s="1" t="s">
        <v>439</v>
      </c>
      <c r="AN115" s="1">
        <v>34243087</v>
      </c>
      <c r="AO115" s="1" t="s">
        <v>48</v>
      </c>
      <c r="AP115" s="1" t="s">
        <v>48</v>
      </c>
      <c r="AQ115" s="1" t="s">
        <v>48</v>
      </c>
      <c r="AR115" s="1" t="s">
        <v>10610</v>
      </c>
    </row>
    <row r="116" spans="1:44" x14ac:dyDescent="0.45">
      <c r="A116" s="1" t="s">
        <v>8928</v>
      </c>
      <c r="B116" s="1" t="s">
        <v>8929</v>
      </c>
      <c r="C116" s="1" t="s">
        <v>571</v>
      </c>
      <c r="D116" s="1" t="s">
        <v>52</v>
      </c>
      <c r="E116" s="1" t="s">
        <v>53</v>
      </c>
      <c r="F116" s="1" t="s">
        <v>8930</v>
      </c>
      <c r="G116" s="1" t="s">
        <v>58</v>
      </c>
      <c r="H116" s="1" t="s">
        <v>8931</v>
      </c>
      <c r="I116" s="1">
        <v>44</v>
      </c>
      <c r="J116" s="1">
        <v>14</v>
      </c>
      <c r="K116" s="1">
        <v>1</v>
      </c>
      <c r="L116" s="1">
        <v>8</v>
      </c>
      <c r="M116" s="1" t="s">
        <v>572</v>
      </c>
      <c r="N116" s="1" t="s">
        <v>573</v>
      </c>
      <c r="O116" s="1" t="s">
        <v>574</v>
      </c>
      <c r="P116" s="1" t="s">
        <v>575</v>
      </c>
      <c r="Q116" s="1" t="s">
        <v>8620</v>
      </c>
      <c r="R116" s="1" t="s">
        <v>48</v>
      </c>
      <c r="S116" s="1" t="s">
        <v>577</v>
      </c>
      <c r="T116" s="1" t="s">
        <v>578</v>
      </c>
      <c r="U116" s="1" t="s">
        <v>10629</v>
      </c>
      <c r="V116" s="1">
        <v>2021</v>
      </c>
      <c r="W116" s="1">
        <v>55</v>
      </c>
      <c r="X116" s="1">
        <v>1</v>
      </c>
      <c r="Y116" s="1" t="s">
        <v>48</v>
      </c>
      <c r="Z116" s="1" t="s">
        <v>48</v>
      </c>
      <c r="AA116" s="1" t="s">
        <v>48</v>
      </c>
      <c r="AB116" s="1" t="s">
        <v>48</v>
      </c>
      <c r="AC116" s="1">
        <v>189</v>
      </c>
      <c r="AD116" s="1">
        <v>211</v>
      </c>
      <c r="AE116" s="1" t="s">
        <v>48</v>
      </c>
      <c r="AF116" s="1" t="s">
        <v>8932</v>
      </c>
      <c r="AG116" s="1" t="str">
        <f>HYPERLINK("http://dx.doi.org/10.1051/ro/2020137","http://dx.doi.org/10.1051/ro/2020137")</f>
        <v>http://dx.doi.org/10.1051/ro/2020137</v>
      </c>
      <c r="AH116" s="1" t="s">
        <v>48</v>
      </c>
      <c r="AI116" s="1" t="s">
        <v>48</v>
      </c>
      <c r="AJ116" s="1">
        <v>23</v>
      </c>
      <c r="AK116" s="1" t="s">
        <v>580</v>
      </c>
      <c r="AL116" s="1" t="s">
        <v>67</v>
      </c>
      <c r="AM116" s="1" t="s">
        <v>580</v>
      </c>
      <c r="AN116" s="1" t="s">
        <v>48</v>
      </c>
      <c r="AO116" s="1" t="s">
        <v>8933</v>
      </c>
      <c r="AP116" s="1" t="s">
        <v>48</v>
      </c>
      <c r="AQ116" s="1" t="s">
        <v>48</v>
      </c>
      <c r="AR116" s="1" t="s">
        <v>10610</v>
      </c>
    </row>
    <row r="117" spans="1:44" x14ac:dyDescent="0.45">
      <c r="A117" s="1" t="s">
        <v>2542</v>
      </c>
      <c r="B117" s="1" t="s">
        <v>8994</v>
      </c>
      <c r="C117" s="1" t="s">
        <v>8995</v>
      </c>
      <c r="D117" s="1" t="s">
        <v>52</v>
      </c>
      <c r="E117" s="1" t="s">
        <v>1114</v>
      </c>
      <c r="F117" s="1" t="s">
        <v>3258</v>
      </c>
      <c r="G117" s="1" t="s">
        <v>58</v>
      </c>
      <c r="H117" s="1" t="s">
        <v>3259</v>
      </c>
      <c r="I117" s="1">
        <v>141</v>
      </c>
      <c r="J117" s="1">
        <v>0</v>
      </c>
      <c r="K117" s="1">
        <v>0</v>
      </c>
      <c r="L117" s="1">
        <v>7</v>
      </c>
      <c r="M117" s="1" t="s">
        <v>8996</v>
      </c>
      <c r="N117" s="1" t="s">
        <v>239</v>
      </c>
      <c r="O117" s="1" t="s">
        <v>8997</v>
      </c>
      <c r="P117" s="1" t="s">
        <v>8998</v>
      </c>
      <c r="Q117" s="1" t="s">
        <v>8999</v>
      </c>
      <c r="R117" s="1" t="s">
        <v>48</v>
      </c>
      <c r="S117" s="1" t="s">
        <v>9000</v>
      </c>
      <c r="T117" s="1" t="s">
        <v>9001</v>
      </c>
      <c r="U117" s="1" t="s">
        <v>86</v>
      </c>
      <c r="V117" s="1">
        <v>2021</v>
      </c>
      <c r="W117" s="1">
        <v>87</v>
      </c>
      <c r="X117" s="1">
        <v>4</v>
      </c>
      <c r="Y117" s="1" t="s">
        <v>48</v>
      </c>
      <c r="Z117" s="1" t="s">
        <v>48</v>
      </c>
      <c r="AA117" s="1" t="s">
        <v>48</v>
      </c>
      <c r="AB117" s="1" t="s">
        <v>48</v>
      </c>
      <c r="AC117" s="1">
        <v>547</v>
      </c>
      <c r="AD117" s="1">
        <v>561</v>
      </c>
      <c r="AE117" s="1" t="s">
        <v>48</v>
      </c>
      <c r="AF117" s="1" t="s">
        <v>9002</v>
      </c>
      <c r="AG117" s="1" t="str">
        <f>HYPERLINK("http://dx.doi.org/10.1007/s43538-021-00058-x","http://dx.doi.org/10.1007/s43538-021-00058-x")</f>
        <v>http://dx.doi.org/10.1007/s43538-021-00058-x</v>
      </c>
      <c r="AH117" s="1" t="s">
        <v>48</v>
      </c>
      <c r="AI117" s="1" t="s">
        <v>10616</v>
      </c>
      <c r="AJ117" s="1">
        <v>15</v>
      </c>
      <c r="AK117" s="1" t="s">
        <v>335</v>
      </c>
      <c r="AL117" s="1" t="s">
        <v>124</v>
      </c>
      <c r="AM117" s="1" t="s">
        <v>336</v>
      </c>
      <c r="AN117" s="1" t="s">
        <v>48</v>
      </c>
      <c r="AO117" s="1" t="s">
        <v>48</v>
      </c>
      <c r="AP117" s="1" t="s">
        <v>48</v>
      </c>
      <c r="AQ117" s="1" t="s">
        <v>48</v>
      </c>
      <c r="AR117" s="1" t="s">
        <v>10610</v>
      </c>
    </row>
    <row r="118" spans="1:44" x14ac:dyDescent="0.45">
      <c r="A118" s="1" t="s">
        <v>9003</v>
      </c>
      <c r="B118" s="1" t="s">
        <v>9004</v>
      </c>
      <c r="C118" s="1" t="s">
        <v>8749</v>
      </c>
      <c r="D118" s="1" t="s">
        <v>52</v>
      </c>
      <c r="E118" s="1" t="s">
        <v>53</v>
      </c>
      <c r="F118" s="1" t="s">
        <v>9005</v>
      </c>
      <c r="G118" s="1" t="s">
        <v>58</v>
      </c>
      <c r="H118" s="1" t="s">
        <v>9006</v>
      </c>
      <c r="I118" s="1">
        <v>35</v>
      </c>
      <c r="J118" s="1">
        <v>4</v>
      </c>
      <c r="K118" s="1">
        <v>1</v>
      </c>
      <c r="L118" s="1">
        <v>5</v>
      </c>
      <c r="M118" s="1" t="s">
        <v>8752</v>
      </c>
      <c r="N118" s="1" t="s">
        <v>8753</v>
      </c>
      <c r="O118" s="1" t="s">
        <v>8754</v>
      </c>
      <c r="P118" s="1" t="s">
        <v>8755</v>
      </c>
      <c r="Q118" s="1" t="s">
        <v>8756</v>
      </c>
      <c r="R118" s="1" t="s">
        <v>48</v>
      </c>
      <c r="S118" s="1" t="s">
        <v>8757</v>
      </c>
      <c r="T118" s="1" t="s">
        <v>8758</v>
      </c>
      <c r="U118" s="1" t="s">
        <v>911</v>
      </c>
      <c r="V118" s="1">
        <v>2021</v>
      </c>
      <c r="W118" s="1">
        <v>11</v>
      </c>
      <c r="X118" s="1">
        <v>2</v>
      </c>
      <c r="Y118" s="1" t="s">
        <v>48</v>
      </c>
      <c r="Z118" s="1" t="s">
        <v>48</v>
      </c>
      <c r="AA118" s="1" t="s">
        <v>48</v>
      </c>
      <c r="AB118" s="1" t="s">
        <v>48</v>
      </c>
      <c r="AC118" s="1">
        <v>146</v>
      </c>
      <c r="AD118" s="1">
        <v>160</v>
      </c>
      <c r="AE118" s="1" t="s">
        <v>48</v>
      </c>
      <c r="AF118" s="1" t="s">
        <v>9007</v>
      </c>
      <c r="AG118" s="1" t="str">
        <f>HYPERLINK("http://dx.doi.org/10.46604/ijeti.2021.6821","http://dx.doi.org/10.46604/ijeti.2021.6821")</f>
        <v>http://dx.doi.org/10.46604/ijeti.2021.6821</v>
      </c>
      <c r="AH118" s="1" t="s">
        <v>48</v>
      </c>
      <c r="AI118" s="1" t="s">
        <v>48</v>
      </c>
      <c r="AJ118" s="1">
        <v>15</v>
      </c>
      <c r="AK118" s="1" t="s">
        <v>1732</v>
      </c>
      <c r="AL118" s="1" t="s">
        <v>124</v>
      </c>
      <c r="AM118" s="1" t="s">
        <v>1733</v>
      </c>
      <c r="AN118" s="1" t="s">
        <v>48</v>
      </c>
      <c r="AO118" s="1" t="s">
        <v>125</v>
      </c>
      <c r="AP118" s="1" t="s">
        <v>48</v>
      </c>
      <c r="AQ118" s="1" t="s">
        <v>48</v>
      </c>
      <c r="AR118" s="1" t="s">
        <v>10610</v>
      </c>
    </row>
    <row r="119" spans="1:44" x14ac:dyDescent="0.45">
      <c r="A119" s="1" t="s">
        <v>9167</v>
      </c>
      <c r="B119" s="1" t="s">
        <v>9168</v>
      </c>
      <c r="C119" s="1" t="s">
        <v>2702</v>
      </c>
      <c r="D119" s="1" t="s">
        <v>52</v>
      </c>
      <c r="E119" s="1" t="s">
        <v>53</v>
      </c>
      <c r="F119" s="1" t="s">
        <v>9169</v>
      </c>
      <c r="G119" s="1" t="s">
        <v>58</v>
      </c>
      <c r="H119" s="1" t="s">
        <v>9011</v>
      </c>
      <c r="I119" s="1">
        <v>56</v>
      </c>
      <c r="J119" s="1">
        <v>5</v>
      </c>
      <c r="K119" s="1">
        <v>1</v>
      </c>
      <c r="L119" s="1">
        <v>18</v>
      </c>
      <c r="M119" s="1" t="s">
        <v>1183</v>
      </c>
      <c r="N119" s="1" t="s">
        <v>1184</v>
      </c>
      <c r="O119" s="1" t="s">
        <v>1185</v>
      </c>
      <c r="P119" s="1" t="s">
        <v>2707</v>
      </c>
      <c r="Q119" s="1" t="s">
        <v>48</v>
      </c>
      <c r="R119" s="1" t="s">
        <v>48</v>
      </c>
      <c r="S119" s="1" t="s">
        <v>2702</v>
      </c>
      <c r="T119" s="1" t="s">
        <v>2708</v>
      </c>
      <c r="U119" s="1" t="s">
        <v>10630</v>
      </c>
      <c r="V119" s="1">
        <v>2021</v>
      </c>
      <c r="W119" s="1">
        <v>6</v>
      </c>
      <c r="X119" s="1">
        <v>31</v>
      </c>
      <c r="Y119" s="1" t="s">
        <v>48</v>
      </c>
      <c r="Z119" s="1" t="s">
        <v>48</v>
      </c>
      <c r="AA119" s="1" t="s">
        <v>48</v>
      </c>
      <c r="AB119" s="1" t="s">
        <v>48</v>
      </c>
      <c r="AC119" s="1">
        <v>20560</v>
      </c>
      <c r="AD119" s="1">
        <v>20568</v>
      </c>
      <c r="AE119" s="1" t="s">
        <v>48</v>
      </c>
      <c r="AF119" s="1" t="s">
        <v>9170</v>
      </c>
      <c r="AG119" s="1" t="str">
        <f>HYPERLINK("http://dx.doi.org/10.1021/acsomega.1c02630","http://dx.doi.org/10.1021/acsomega.1c02630")</f>
        <v>http://dx.doi.org/10.1021/acsomega.1c02630</v>
      </c>
      <c r="AH119" s="1" t="s">
        <v>48</v>
      </c>
      <c r="AI119" s="1" t="s">
        <v>10623</v>
      </c>
      <c r="AJ119" s="1">
        <v>9</v>
      </c>
      <c r="AK119" s="1" t="s">
        <v>2292</v>
      </c>
      <c r="AL119" s="1" t="s">
        <v>67</v>
      </c>
      <c r="AM119" s="1" t="s">
        <v>2293</v>
      </c>
      <c r="AN119" s="1">
        <v>34396001</v>
      </c>
      <c r="AO119" s="1" t="s">
        <v>337</v>
      </c>
      <c r="AP119" s="1" t="s">
        <v>48</v>
      </c>
      <c r="AQ119" s="1" t="s">
        <v>48</v>
      </c>
      <c r="AR119" s="1" t="s">
        <v>10610</v>
      </c>
    </row>
    <row r="120" spans="1:44" x14ac:dyDescent="0.45">
      <c r="A120" s="1" t="s">
        <v>9171</v>
      </c>
      <c r="B120" s="1" t="s">
        <v>9172</v>
      </c>
      <c r="C120" s="1" t="s">
        <v>379</v>
      </c>
      <c r="D120" s="1" t="s">
        <v>52</v>
      </c>
      <c r="E120" s="1" t="s">
        <v>53</v>
      </c>
      <c r="F120" s="1" t="s">
        <v>9173</v>
      </c>
      <c r="G120" s="1" t="s">
        <v>58</v>
      </c>
      <c r="H120" s="1" t="s">
        <v>9174</v>
      </c>
      <c r="I120" s="1">
        <v>48</v>
      </c>
      <c r="J120" s="1">
        <v>5</v>
      </c>
      <c r="K120" s="1">
        <v>0</v>
      </c>
      <c r="L120" s="1">
        <v>7</v>
      </c>
      <c r="M120" s="1" t="s">
        <v>215</v>
      </c>
      <c r="N120" s="1" t="s">
        <v>158</v>
      </c>
      <c r="O120" s="1" t="s">
        <v>216</v>
      </c>
      <c r="P120" s="1" t="s">
        <v>382</v>
      </c>
      <c r="Q120" s="1" t="s">
        <v>383</v>
      </c>
      <c r="R120" s="1" t="s">
        <v>48</v>
      </c>
      <c r="S120" s="1" t="s">
        <v>384</v>
      </c>
      <c r="T120" s="1" t="s">
        <v>385</v>
      </c>
      <c r="U120" s="1" t="s">
        <v>436</v>
      </c>
      <c r="V120" s="1">
        <v>2021</v>
      </c>
      <c r="W120" s="1">
        <v>159</v>
      </c>
      <c r="X120" s="1" t="s">
        <v>48</v>
      </c>
      <c r="Y120" s="1" t="s">
        <v>48</v>
      </c>
      <c r="Z120" s="1" t="s">
        <v>48</v>
      </c>
      <c r="AA120" s="1" t="s">
        <v>48</v>
      </c>
      <c r="AB120" s="1" t="s">
        <v>48</v>
      </c>
      <c r="AC120" s="1" t="s">
        <v>48</v>
      </c>
      <c r="AD120" s="1" t="s">
        <v>48</v>
      </c>
      <c r="AE120" s="1">
        <v>107412</v>
      </c>
      <c r="AF120" s="1" t="s">
        <v>9175</v>
      </c>
      <c r="AG120" s="1" t="str">
        <f>HYPERLINK("http://dx.doi.org/10.1016/j.cie.2021.107412","http://dx.doi.org/10.1016/j.cie.2021.107412")</f>
        <v>http://dx.doi.org/10.1016/j.cie.2021.107412</v>
      </c>
      <c r="AH120" s="1" t="s">
        <v>48</v>
      </c>
      <c r="AI120" s="1" t="s">
        <v>10611</v>
      </c>
      <c r="AJ120" s="1">
        <v>21</v>
      </c>
      <c r="AK120" s="1" t="s">
        <v>388</v>
      </c>
      <c r="AL120" s="1" t="s">
        <v>67</v>
      </c>
      <c r="AM120" s="1" t="s">
        <v>389</v>
      </c>
      <c r="AN120" s="1" t="s">
        <v>48</v>
      </c>
      <c r="AO120" s="1" t="s">
        <v>48</v>
      </c>
      <c r="AP120" s="1" t="s">
        <v>48</v>
      </c>
      <c r="AQ120" s="1" t="s">
        <v>48</v>
      </c>
      <c r="AR120" s="1" t="s">
        <v>10610</v>
      </c>
    </row>
    <row r="121" spans="1:44" x14ac:dyDescent="0.45">
      <c r="A121" s="1" t="s">
        <v>9176</v>
      </c>
      <c r="B121" s="1" t="s">
        <v>9177</v>
      </c>
      <c r="C121" s="1" t="s">
        <v>8431</v>
      </c>
      <c r="D121" s="1" t="s">
        <v>52</v>
      </c>
      <c r="E121" s="1" t="s">
        <v>53</v>
      </c>
      <c r="F121" s="1" t="s">
        <v>9178</v>
      </c>
      <c r="G121" s="1" t="s">
        <v>58</v>
      </c>
      <c r="H121" s="1" t="s">
        <v>2513</v>
      </c>
      <c r="I121" s="1">
        <v>51</v>
      </c>
      <c r="J121" s="1">
        <v>6</v>
      </c>
      <c r="K121" s="1">
        <v>0</v>
      </c>
      <c r="L121" s="1">
        <v>0</v>
      </c>
      <c r="M121" s="1" t="s">
        <v>79</v>
      </c>
      <c r="N121" s="1" t="s">
        <v>80</v>
      </c>
      <c r="O121" s="1" t="s">
        <v>81</v>
      </c>
      <c r="P121" s="1" t="s">
        <v>8434</v>
      </c>
      <c r="Q121" s="1" t="s">
        <v>48</v>
      </c>
      <c r="R121" s="1" t="s">
        <v>48</v>
      </c>
      <c r="S121" s="1" t="s">
        <v>8435</v>
      </c>
      <c r="T121" s="1" t="s">
        <v>8436</v>
      </c>
      <c r="U121" s="1" t="s">
        <v>243</v>
      </c>
      <c r="V121" s="1">
        <v>2021</v>
      </c>
      <c r="W121" s="1">
        <v>41</v>
      </c>
      <c r="X121" s="1">
        <v>3</v>
      </c>
      <c r="Y121" s="1" t="s">
        <v>48</v>
      </c>
      <c r="Z121" s="1" t="s">
        <v>48</v>
      </c>
      <c r="AA121" s="1" t="s">
        <v>48</v>
      </c>
      <c r="AB121" s="1" t="s">
        <v>48</v>
      </c>
      <c r="AC121" s="1">
        <v>243</v>
      </c>
      <c r="AD121" s="1">
        <v>252</v>
      </c>
      <c r="AE121" s="1" t="s">
        <v>48</v>
      </c>
      <c r="AF121" s="1" t="s">
        <v>9179</v>
      </c>
      <c r="AG121" s="1" t="str">
        <f>HYPERLINK("http://dx.doi.org/10.1016/j.chnaes.2021.05.003","http://dx.doi.org/10.1016/j.chnaes.2021.05.003")</f>
        <v>http://dx.doi.org/10.1016/j.chnaes.2021.05.003</v>
      </c>
      <c r="AH121" s="1" t="s">
        <v>48</v>
      </c>
      <c r="AI121" s="1" t="s">
        <v>48</v>
      </c>
      <c r="AJ121" s="1">
        <v>10</v>
      </c>
      <c r="AK121" s="1" t="s">
        <v>5096</v>
      </c>
      <c r="AL121" s="1" t="s">
        <v>124</v>
      </c>
      <c r="AM121" s="1" t="s">
        <v>439</v>
      </c>
      <c r="AN121" s="1" t="s">
        <v>48</v>
      </c>
      <c r="AO121" s="1" t="s">
        <v>48</v>
      </c>
      <c r="AP121" s="1" t="s">
        <v>48</v>
      </c>
      <c r="AQ121" s="1" t="s">
        <v>48</v>
      </c>
      <c r="AR121" s="1" t="s">
        <v>10610</v>
      </c>
    </row>
    <row r="122" spans="1:44" x14ac:dyDescent="0.45">
      <c r="A122" s="1" t="s">
        <v>9046</v>
      </c>
      <c r="B122" s="1" t="s">
        <v>9047</v>
      </c>
      <c r="C122" s="1" t="s">
        <v>1030</v>
      </c>
      <c r="D122" s="1" t="s">
        <v>52</v>
      </c>
      <c r="E122" s="1" t="s">
        <v>53</v>
      </c>
      <c r="F122" s="1" t="s">
        <v>9048</v>
      </c>
      <c r="G122" s="1" t="s">
        <v>58</v>
      </c>
      <c r="H122" s="1" t="s">
        <v>131</v>
      </c>
      <c r="I122" s="1">
        <v>34</v>
      </c>
      <c r="J122" s="1">
        <v>3</v>
      </c>
      <c r="K122" s="1">
        <v>1</v>
      </c>
      <c r="L122" s="1">
        <v>8</v>
      </c>
      <c r="M122" s="1" t="s">
        <v>252</v>
      </c>
      <c r="N122" s="1" t="s">
        <v>253</v>
      </c>
      <c r="O122" s="1" t="s">
        <v>254</v>
      </c>
      <c r="P122" s="1" t="s">
        <v>1036</v>
      </c>
      <c r="Q122" s="1" t="s">
        <v>1037</v>
      </c>
      <c r="R122" s="1" t="s">
        <v>48</v>
      </c>
      <c r="S122" s="1" t="s">
        <v>1038</v>
      </c>
      <c r="T122" s="1" t="s">
        <v>1039</v>
      </c>
      <c r="U122" s="1" t="s">
        <v>458</v>
      </c>
      <c r="V122" s="1">
        <v>2022</v>
      </c>
      <c r="W122" s="1">
        <v>68</v>
      </c>
      <c r="X122" s="1">
        <v>5</v>
      </c>
      <c r="Y122" s="1" t="s">
        <v>48</v>
      </c>
      <c r="Z122" s="1" t="s">
        <v>48</v>
      </c>
      <c r="AA122" s="1" t="s">
        <v>48</v>
      </c>
      <c r="AB122" s="1" t="s">
        <v>48</v>
      </c>
      <c r="AC122" s="1">
        <v>3327</v>
      </c>
      <c r="AD122" s="1">
        <v>3345</v>
      </c>
      <c r="AE122" s="1" t="s">
        <v>48</v>
      </c>
      <c r="AF122" s="1" t="s">
        <v>9049</v>
      </c>
      <c r="AG122" s="1" t="str">
        <f>HYPERLINK("http://dx.doi.org/10.1007/s12190-021-01665-z","http://dx.doi.org/10.1007/s12190-021-01665-z")</f>
        <v>http://dx.doi.org/10.1007/s12190-021-01665-z</v>
      </c>
      <c r="AH122" s="1" t="s">
        <v>48</v>
      </c>
      <c r="AI122" s="1" t="s">
        <v>10616</v>
      </c>
      <c r="AJ122" s="1">
        <v>19</v>
      </c>
      <c r="AK122" s="1" t="s">
        <v>1041</v>
      </c>
      <c r="AL122" s="1" t="s">
        <v>67</v>
      </c>
      <c r="AM122" s="1" t="s">
        <v>137</v>
      </c>
      <c r="AN122" s="1" t="s">
        <v>48</v>
      </c>
      <c r="AO122" s="1" t="s">
        <v>48</v>
      </c>
      <c r="AP122" s="1" t="s">
        <v>48</v>
      </c>
      <c r="AQ122" s="1" t="s">
        <v>48</v>
      </c>
      <c r="AR122" s="1" t="s">
        <v>10610</v>
      </c>
    </row>
    <row r="123" spans="1:44" x14ac:dyDescent="0.45">
      <c r="A123" s="1" t="s">
        <v>9050</v>
      </c>
      <c r="B123" s="1" t="s">
        <v>9051</v>
      </c>
      <c r="C123" s="1" t="s">
        <v>3286</v>
      </c>
      <c r="D123" s="1" t="s">
        <v>52</v>
      </c>
      <c r="E123" s="1" t="s">
        <v>53</v>
      </c>
      <c r="F123" s="1" t="s">
        <v>9052</v>
      </c>
      <c r="G123" s="1" t="s">
        <v>58</v>
      </c>
      <c r="H123" s="1" t="s">
        <v>1045</v>
      </c>
      <c r="I123" s="1">
        <v>33</v>
      </c>
      <c r="J123" s="1">
        <v>4</v>
      </c>
      <c r="K123" s="1">
        <v>0</v>
      </c>
      <c r="L123" s="1">
        <v>1</v>
      </c>
      <c r="M123" s="1" t="s">
        <v>313</v>
      </c>
      <c r="N123" s="1" t="s">
        <v>314</v>
      </c>
      <c r="O123" s="1" t="s">
        <v>3288</v>
      </c>
      <c r="P123" s="1" t="s">
        <v>48</v>
      </c>
      <c r="Q123" s="1" t="s">
        <v>3289</v>
      </c>
      <c r="R123" s="1" t="s">
        <v>48</v>
      </c>
      <c r="S123" s="1" t="s">
        <v>3290</v>
      </c>
      <c r="T123" s="1" t="s">
        <v>3291</v>
      </c>
      <c r="U123" s="1" t="s">
        <v>48</v>
      </c>
      <c r="V123" s="1">
        <v>2021</v>
      </c>
      <c r="W123" s="1">
        <v>6</v>
      </c>
      <c r="X123" s="1">
        <v>9</v>
      </c>
      <c r="Y123" s="1" t="s">
        <v>48</v>
      </c>
      <c r="Z123" s="1" t="s">
        <v>48</v>
      </c>
      <c r="AA123" s="1" t="s">
        <v>48</v>
      </c>
      <c r="AB123" s="1" t="s">
        <v>48</v>
      </c>
      <c r="AC123" s="1">
        <v>9290</v>
      </c>
      <c r="AD123" s="1">
        <v>9308</v>
      </c>
      <c r="AE123" s="1" t="s">
        <v>48</v>
      </c>
      <c r="AF123" s="1" t="s">
        <v>9053</v>
      </c>
      <c r="AG123" s="1" t="str">
        <f>HYPERLINK("http://dx.doi.org/10.3934/math.2021540","http://dx.doi.org/10.3934/math.2021540")</f>
        <v>http://dx.doi.org/10.3934/math.2021540</v>
      </c>
      <c r="AH123" s="1" t="s">
        <v>48</v>
      </c>
      <c r="AI123" s="1" t="s">
        <v>48</v>
      </c>
      <c r="AJ123" s="1">
        <v>19</v>
      </c>
      <c r="AK123" s="1" t="s">
        <v>1041</v>
      </c>
      <c r="AL123" s="1" t="s">
        <v>67</v>
      </c>
      <c r="AM123" s="1" t="s">
        <v>137</v>
      </c>
      <c r="AN123" s="1" t="s">
        <v>48</v>
      </c>
      <c r="AO123" s="1" t="s">
        <v>125</v>
      </c>
      <c r="AP123" s="1" t="s">
        <v>48</v>
      </c>
      <c r="AQ123" s="1" t="s">
        <v>48</v>
      </c>
      <c r="AR123" s="1" t="s">
        <v>10610</v>
      </c>
    </row>
    <row r="124" spans="1:44" x14ac:dyDescent="0.45">
      <c r="A124" s="1" t="s">
        <v>9054</v>
      </c>
      <c r="B124" s="1" t="s">
        <v>9055</v>
      </c>
      <c r="C124" s="1" t="s">
        <v>9056</v>
      </c>
      <c r="D124" s="1" t="s">
        <v>52</v>
      </c>
      <c r="E124" s="1" t="s">
        <v>53</v>
      </c>
      <c r="F124" s="1" t="s">
        <v>9057</v>
      </c>
      <c r="G124" s="1" t="s">
        <v>58</v>
      </c>
      <c r="H124" s="1" t="s">
        <v>2513</v>
      </c>
      <c r="I124" s="1">
        <v>43</v>
      </c>
      <c r="J124" s="1">
        <v>4</v>
      </c>
      <c r="K124" s="1">
        <v>1</v>
      </c>
      <c r="L124" s="1">
        <v>10</v>
      </c>
      <c r="M124" s="1" t="s">
        <v>9058</v>
      </c>
      <c r="N124" s="1" t="s">
        <v>9059</v>
      </c>
      <c r="O124" s="1" t="s">
        <v>9060</v>
      </c>
      <c r="P124" s="1" t="s">
        <v>9061</v>
      </c>
      <c r="Q124" s="1" t="s">
        <v>48</v>
      </c>
      <c r="R124" s="1" t="s">
        <v>48</v>
      </c>
      <c r="S124" s="1" t="s">
        <v>9056</v>
      </c>
      <c r="T124" s="1" t="s">
        <v>9062</v>
      </c>
      <c r="U124" s="1" t="s">
        <v>436</v>
      </c>
      <c r="V124" s="1">
        <v>2021</v>
      </c>
      <c r="W124" s="1">
        <v>68</v>
      </c>
      <c r="X124" s="1">
        <v>3</v>
      </c>
      <c r="Y124" s="1" t="s">
        <v>48</v>
      </c>
      <c r="Z124" s="1" t="s">
        <v>48</v>
      </c>
      <c r="AA124" s="1" t="s">
        <v>48</v>
      </c>
      <c r="AB124" s="1" t="s">
        <v>48</v>
      </c>
      <c r="AC124" s="1" t="s">
        <v>48</v>
      </c>
      <c r="AD124" s="1" t="s">
        <v>48</v>
      </c>
      <c r="AE124" s="1" t="s">
        <v>9063</v>
      </c>
      <c r="AF124" s="1" t="s">
        <v>9064</v>
      </c>
      <c r="AG124" s="1" t="str">
        <f>HYPERLINK("http://dx.doi.org/10.13102/sociobiology.v68i3.6173","http://dx.doi.org/10.13102/sociobiology.v68i3.6173")</f>
        <v>http://dx.doi.org/10.13102/sociobiology.v68i3.6173</v>
      </c>
      <c r="AH124" s="1" t="s">
        <v>48</v>
      </c>
      <c r="AI124" s="1" t="s">
        <v>48</v>
      </c>
      <c r="AJ124" s="1">
        <v>13</v>
      </c>
      <c r="AK124" s="1" t="s">
        <v>2521</v>
      </c>
      <c r="AL124" s="1" t="s">
        <v>67</v>
      </c>
      <c r="AM124" s="1" t="s">
        <v>2521</v>
      </c>
      <c r="AN124" s="1" t="s">
        <v>48</v>
      </c>
      <c r="AO124" s="1" t="s">
        <v>125</v>
      </c>
      <c r="AP124" s="1" t="s">
        <v>48</v>
      </c>
      <c r="AQ124" s="1" t="s">
        <v>48</v>
      </c>
      <c r="AR124" s="1" t="s">
        <v>10610</v>
      </c>
    </row>
    <row r="125" spans="1:44" x14ac:dyDescent="0.45">
      <c r="A125" s="1" t="s">
        <v>9065</v>
      </c>
      <c r="B125" s="1" t="s">
        <v>9066</v>
      </c>
      <c r="C125" s="1" t="s">
        <v>2618</v>
      </c>
      <c r="D125" s="1" t="s">
        <v>52</v>
      </c>
      <c r="E125" s="1" t="s">
        <v>53</v>
      </c>
      <c r="F125" s="1" t="s">
        <v>9067</v>
      </c>
      <c r="G125" s="1" t="s">
        <v>58</v>
      </c>
      <c r="H125" s="1" t="s">
        <v>3233</v>
      </c>
      <c r="I125" s="1">
        <v>71</v>
      </c>
      <c r="J125" s="1">
        <v>19</v>
      </c>
      <c r="K125" s="1">
        <v>0</v>
      </c>
      <c r="L125" s="1">
        <v>11</v>
      </c>
      <c r="M125" s="1" t="s">
        <v>503</v>
      </c>
      <c r="N125" s="1" t="s">
        <v>542</v>
      </c>
      <c r="O125" s="1" t="s">
        <v>543</v>
      </c>
      <c r="P125" s="1" t="s">
        <v>2623</v>
      </c>
      <c r="Q125" s="1" t="s">
        <v>2624</v>
      </c>
      <c r="R125" s="1" t="s">
        <v>48</v>
      </c>
      <c r="S125" s="1" t="s">
        <v>2625</v>
      </c>
      <c r="T125" s="1" t="s">
        <v>2626</v>
      </c>
      <c r="U125" s="1" t="s">
        <v>911</v>
      </c>
      <c r="V125" s="1">
        <v>2021</v>
      </c>
      <c r="W125" s="1">
        <v>32</v>
      </c>
      <c r="X125" s="1">
        <v>8</v>
      </c>
      <c r="Y125" s="1" t="s">
        <v>48</v>
      </c>
      <c r="Z125" s="1" t="s">
        <v>48</v>
      </c>
      <c r="AA125" s="1" t="s">
        <v>48</v>
      </c>
      <c r="AB125" s="1" t="s">
        <v>48</v>
      </c>
      <c r="AC125" s="1">
        <v>9912</v>
      </c>
      <c r="AD125" s="1">
        <v>9928</v>
      </c>
      <c r="AE125" s="1" t="s">
        <v>48</v>
      </c>
      <c r="AF125" s="1" t="s">
        <v>9068</v>
      </c>
      <c r="AG125" s="1" t="str">
        <f>HYPERLINK("http://dx.doi.org/10.1007/s10854-021-05649-4","http://dx.doi.org/10.1007/s10854-021-05649-4")</f>
        <v>http://dx.doi.org/10.1007/s10854-021-05649-4</v>
      </c>
      <c r="AH125" s="1" t="s">
        <v>48</v>
      </c>
      <c r="AI125" s="1" t="s">
        <v>10618</v>
      </c>
      <c r="AJ125" s="1">
        <v>17</v>
      </c>
      <c r="AK125" s="1" t="s">
        <v>2628</v>
      </c>
      <c r="AL125" s="1" t="s">
        <v>67</v>
      </c>
      <c r="AM125" s="1" t="s">
        <v>2629</v>
      </c>
      <c r="AN125" s="1" t="s">
        <v>48</v>
      </c>
      <c r="AO125" s="1" t="s">
        <v>48</v>
      </c>
      <c r="AP125" s="1" t="s">
        <v>48</v>
      </c>
      <c r="AQ125" s="1" t="s">
        <v>48</v>
      </c>
      <c r="AR125" s="1" t="s">
        <v>10610</v>
      </c>
    </row>
    <row r="126" spans="1:44" x14ac:dyDescent="0.45">
      <c r="A126" s="1" t="s">
        <v>9050</v>
      </c>
      <c r="B126" s="1" t="s">
        <v>9069</v>
      </c>
      <c r="C126" s="1" t="s">
        <v>3286</v>
      </c>
      <c r="D126" s="1" t="s">
        <v>52</v>
      </c>
      <c r="E126" s="1" t="s">
        <v>53</v>
      </c>
      <c r="F126" s="1" t="s">
        <v>9070</v>
      </c>
      <c r="G126" s="1" t="s">
        <v>58</v>
      </c>
      <c r="H126" s="1" t="s">
        <v>1045</v>
      </c>
      <c r="I126" s="1">
        <v>31</v>
      </c>
      <c r="J126" s="1">
        <v>13</v>
      </c>
      <c r="K126" s="1">
        <v>0</v>
      </c>
      <c r="L126" s="1">
        <v>3</v>
      </c>
      <c r="M126" s="1" t="s">
        <v>313</v>
      </c>
      <c r="N126" s="1" t="s">
        <v>314</v>
      </c>
      <c r="O126" s="1" t="s">
        <v>315</v>
      </c>
      <c r="P126" s="1" t="s">
        <v>48</v>
      </c>
      <c r="Q126" s="1" t="s">
        <v>3289</v>
      </c>
      <c r="R126" s="1" t="s">
        <v>48</v>
      </c>
      <c r="S126" s="1" t="s">
        <v>3290</v>
      </c>
      <c r="T126" s="1" t="s">
        <v>3291</v>
      </c>
      <c r="U126" s="1" t="s">
        <v>48</v>
      </c>
      <c r="V126" s="1">
        <v>2021</v>
      </c>
      <c r="W126" s="1">
        <v>6</v>
      </c>
      <c r="X126" s="1">
        <v>1</v>
      </c>
      <c r="Y126" s="1" t="s">
        <v>48</v>
      </c>
      <c r="Z126" s="1" t="s">
        <v>48</v>
      </c>
      <c r="AA126" s="1" t="s">
        <v>48</v>
      </c>
      <c r="AB126" s="1" t="s">
        <v>48</v>
      </c>
      <c r="AC126" s="1">
        <v>962</v>
      </c>
      <c r="AD126" s="1">
        <v>978</v>
      </c>
      <c r="AE126" s="1" t="s">
        <v>48</v>
      </c>
      <c r="AF126" s="1" t="s">
        <v>9071</v>
      </c>
      <c r="AG126" s="1" t="str">
        <f>HYPERLINK("http://dx.doi.org/10.3934/math.2021058","http://dx.doi.org/10.3934/math.2021058")</f>
        <v>http://dx.doi.org/10.3934/math.2021058</v>
      </c>
      <c r="AH126" s="1" t="s">
        <v>48</v>
      </c>
      <c r="AI126" s="1" t="s">
        <v>48</v>
      </c>
      <c r="AJ126" s="1">
        <v>17</v>
      </c>
      <c r="AK126" s="1" t="s">
        <v>1041</v>
      </c>
      <c r="AL126" s="1" t="s">
        <v>67</v>
      </c>
      <c r="AM126" s="1" t="s">
        <v>137</v>
      </c>
      <c r="AN126" s="1" t="s">
        <v>48</v>
      </c>
      <c r="AO126" s="1" t="s">
        <v>125</v>
      </c>
      <c r="AP126" s="1" t="s">
        <v>48</v>
      </c>
      <c r="AQ126" s="1" t="s">
        <v>48</v>
      </c>
      <c r="AR126" s="1" t="s">
        <v>10610</v>
      </c>
    </row>
    <row r="127" spans="1:44" x14ac:dyDescent="0.45">
      <c r="A127" s="1" t="s">
        <v>9111</v>
      </c>
      <c r="B127" s="1" t="s">
        <v>9112</v>
      </c>
      <c r="C127" s="1" t="s">
        <v>9113</v>
      </c>
      <c r="D127" s="1" t="s">
        <v>52</v>
      </c>
      <c r="E127" s="1" t="s">
        <v>53</v>
      </c>
      <c r="F127" s="1" t="s">
        <v>9114</v>
      </c>
      <c r="G127" s="1" t="s">
        <v>58</v>
      </c>
      <c r="H127" s="1" t="s">
        <v>9115</v>
      </c>
      <c r="I127" s="1">
        <v>54</v>
      </c>
      <c r="J127" s="1">
        <v>0</v>
      </c>
      <c r="K127" s="1">
        <v>0</v>
      </c>
      <c r="L127" s="1">
        <v>2</v>
      </c>
      <c r="M127" s="1" t="s">
        <v>9116</v>
      </c>
      <c r="N127" s="1" t="s">
        <v>9117</v>
      </c>
      <c r="O127" s="1" t="s">
        <v>9118</v>
      </c>
      <c r="P127" s="1" t="s">
        <v>9119</v>
      </c>
      <c r="Q127" s="1" t="s">
        <v>9120</v>
      </c>
      <c r="R127" s="1" t="s">
        <v>48</v>
      </c>
      <c r="S127" s="1" t="s">
        <v>9121</v>
      </c>
      <c r="T127" s="1" t="s">
        <v>9122</v>
      </c>
      <c r="U127" s="1" t="s">
        <v>86</v>
      </c>
      <c r="V127" s="1">
        <v>2021</v>
      </c>
      <c r="W127" s="1">
        <v>37</v>
      </c>
      <c r="X127" s="1" t="s">
        <v>7690</v>
      </c>
      <c r="Y127" s="1" t="s">
        <v>48</v>
      </c>
      <c r="Z127" s="1" t="s">
        <v>48</v>
      </c>
      <c r="AA127" s="1" t="s">
        <v>48</v>
      </c>
      <c r="AB127" s="1" t="s">
        <v>48</v>
      </c>
      <c r="AC127" s="1">
        <v>159</v>
      </c>
      <c r="AD127" s="1">
        <v>171</v>
      </c>
      <c r="AE127" s="1" t="s">
        <v>48</v>
      </c>
      <c r="AF127" s="1" t="s">
        <v>9123</v>
      </c>
      <c r="AG127" s="1" t="str">
        <f>HYPERLINK("http://dx.doi.org/10.18311/jsst/2021/25053","http://dx.doi.org/10.18311/jsst/2021/25053")</f>
        <v>http://dx.doi.org/10.18311/jsst/2021/25053</v>
      </c>
      <c r="AH127" s="1" t="s">
        <v>48</v>
      </c>
      <c r="AI127" s="1" t="s">
        <v>48</v>
      </c>
      <c r="AJ127" s="1">
        <v>13</v>
      </c>
      <c r="AK127" s="1" t="s">
        <v>9124</v>
      </c>
      <c r="AL127" s="1" t="s">
        <v>124</v>
      </c>
      <c r="AM127" s="1" t="s">
        <v>670</v>
      </c>
      <c r="AN127" s="1" t="s">
        <v>48</v>
      </c>
      <c r="AO127" s="1" t="s">
        <v>48</v>
      </c>
      <c r="AP127" s="1" t="s">
        <v>48</v>
      </c>
      <c r="AQ127" s="1" t="s">
        <v>48</v>
      </c>
      <c r="AR127" s="1" t="s">
        <v>10610</v>
      </c>
    </row>
    <row r="128" spans="1:44" x14ac:dyDescent="0.45">
      <c r="A128" s="1" t="s">
        <v>9125</v>
      </c>
      <c r="B128" s="1" t="s">
        <v>9126</v>
      </c>
      <c r="C128" s="1" t="s">
        <v>2841</v>
      </c>
      <c r="D128" s="1" t="s">
        <v>52</v>
      </c>
      <c r="E128" s="1" t="s">
        <v>53</v>
      </c>
      <c r="F128" s="1" t="s">
        <v>9127</v>
      </c>
      <c r="G128" s="1" t="s">
        <v>58</v>
      </c>
      <c r="H128" s="1" t="s">
        <v>9128</v>
      </c>
      <c r="I128" s="1">
        <v>34</v>
      </c>
      <c r="J128" s="1">
        <v>14</v>
      </c>
      <c r="K128" s="1">
        <v>0</v>
      </c>
      <c r="L128" s="1">
        <v>3</v>
      </c>
      <c r="M128" s="1" t="s">
        <v>1523</v>
      </c>
      <c r="N128" s="1" t="s">
        <v>632</v>
      </c>
      <c r="O128" s="1" t="s">
        <v>1524</v>
      </c>
      <c r="P128" s="1" t="s">
        <v>2844</v>
      </c>
      <c r="Q128" s="1" t="s">
        <v>2845</v>
      </c>
      <c r="R128" s="1" t="s">
        <v>48</v>
      </c>
      <c r="S128" s="1" t="s">
        <v>2846</v>
      </c>
      <c r="T128" s="1" t="s">
        <v>2847</v>
      </c>
      <c r="U128" s="1" t="s">
        <v>103</v>
      </c>
      <c r="V128" s="1">
        <v>2021</v>
      </c>
      <c r="W128" s="1">
        <v>6</v>
      </c>
      <c r="X128" s="1">
        <v>3</v>
      </c>
      <c r="Y128" s="1" t="s">
        <v>48</v>
      </c>
      <c r="Z128" s="1" t="s">
        <v>48</v>
      </c>
      <c r="AA128" s="1" t="s">
        <v>48</v>
      </c>
      <c r="AB128" s="1" t="s">
        <v>48</v>
      </c>
      <c r="AC128" s="1">
        <v>705</v>
      </c>
      <c r="AD128" s="1">
        <v>718</v>
      </c>
      <c r="AE128" s="1" t="s">
        <v>48</v>
      </c>
      <c r="AF128" s="1" t="s">
        <v>9129</v>
      </c>
      <c r="AG128" s="1" t="str">
        <f>HYPERLINK("http://dx.doi.org/10.1007/s41066-020-00227-1","http://dx.doi.org/10.1007/s41066-020-00227-1")</f>
        <v>http://dx.doi.org/10.1007/s41066-020-00227-1</v>
      </c>
      <c r="AH128" s="1" t="s">
        <v>48</v>
      </c>
      <c r="AI128" s="1" t="s">
        <v>48</v>
      </c>
      <c r="AJ128" s="1">
        <v>14</v>
      </c>
      <c r="AK128" s="1" t="s">
        <v>2849</v>
      </c>
      <c r="AL128" s="1" t="s">
        <v>124</v>
      </c>
      <c r="AM128" s="1" t="s">
        <v>292</v>
      </c>
      <c r="AN128" s="1" t="s">
        <v>48</v>
      </c>
      <c r="AO128" s="1" t="s">
        <v>48</v>
      </c>
      <c r="AP128" s="1" t="s">
        <v>48</v>
      </c>
      <c r="AQ128" s="1" t="s">
        <v>48</v>
      </c>
      <c r="AR128" s="1" t="s">
        <v>10610</v>
      </c>
    </row>
    <row r="129" spans="1:44" x14ac:dyDescent="0.45">
      <c r="A129" s="1" t="s">
        <v>2321</v>
      </c>
      <c r="B129" s="1" t="s">
        <v>9130</v>
      </c>
      <c r="C129" s="1" t="s">
        <v>9131</v>
      </c>
      <c r="D129" s="1" t="s">
        <v>52</v>
      </c>
      <c r="E129" s="1" t="s">
        <v>53</v>
      </c>
      <c r="F129" s="1" t="s">
        <v>9132</v>
      </c>
      <c r="G129" s="1" t="s">
        <v>58</v>
      </c>
      <c r="H129" s="1" t="s">
        <v>9133</v>
      </c>
      <c r="I129" s="1">
        <v>38</v>
      </c>
      <c r="J129" s="1">
        <v>3</v>
      </c>
      <c r="K129" s="1">
        <v>0</v>
      </c>
      <c r="L129" s="1">
        <v>4</v>
      </c>
      <c r="M129" s="1" t="s">
        <v>3985</v>
      </c>
      <c r="N129" s="1" t="s">
        <v>3986</v>
      </c>
      <c r="O129" s="1" t="s">
        <v>3987</v>
      </c>
      <c r="P129" s="1" t="s">
        <v>9134</v>
      </c>
      <c r="Q129" s="1" t="s">
        <v>9135</v>
      </c>
      <c r="R129" s="1" t="s">
        <v>48</v>
      </c>
      <c r="S129" s="1" t="s">
        <v>9136</v>
      </c>
      <c r="T129" s="1" t="s">
        <v>9137</v>
      </c>
      <c r="U129" s="1" t="s">
        <v>48</v>
      </c>
      <c r="V129" s="1">
        <v>2021</v>
      </c>
      <c r="W129" s="1">
        <v>7</v>
      </c>
      <c r="X129" s="1">
        <v>1</v>
      </c>
      <c r="Y129" s="1" t="s">
        <v>48</v>
      </c>
      <c r="Z129" s="1" t="s">
        <v>48</v>
      </c>
      <c r="AA129" s="1" t="s">
        <v>48</v>
      </c>
      <c r="AB129" s="1" t="s">
        <v>48</v>
      </c>
      <c r="AC129" s="1">
        <v>17</v>
      </c>
      <c r="AD129" s="1">
        <v>30</v>
      </c>
      <c r="AE129" s="1" t="s">
        <v>48</v>
      </c>
      <c r="AF129" s="1" t="s">
        <v>48</v>
      </c>
      <c r="AG129" s="1" t="s">
        <v>48</v>
      </c>
      <c r="AH129" s="1" t="s">
        <v>48</v>
      </c>
      <c r="AI129" s="1" t="s">
        <v>48</v>
      </c>
      <c r="AJ129" s="1">
        <v>14</v>
      </c>
      <c r="AK129" s="1" t="s">
        <v>9138</v>
      </c>
      <c r="AL129" s="1" t="s">
        <v>124</v>
      </c>
      <c r="AM129" s="1" t="s">
        <v>9139</v>
      </c>
      <c r="AN129" s="1" t="s">
        <v>48</v>
      </c>
      <c r="AO129" s="1" t="s">
        <v>48</v>
      </c>
      <c r="AP129" s="1" t="s">
        <v>48</v>
      </c>
      <c r="AQ129" s="1" t="s">
        <v>48</v>
      </c>
      <c r="AR129" s="1" t="s">
        <v>10610</v>
      </c>
    </row>
    <row r="130" spans="1:44" x14ac:dyDescent="0.45">
      <c r="A130" s="1" t="s">
        <v>9144</v>
      </c>
      <c r="B130" s="1" t="s">
        <v>9145</v>
      </c>
      <c r="C130" s="1" t="s">
        <v>9146</v>
      </c>
      <c r="D130" s="1" t="s">
        <v>52</v>
      </c>
      <c r="E130" s="1" t="s">
        <v>53</v>
      </c>
      <c r="F130" s="1" t="s">
        <v>9147</v>
      </c>
      <c r="G130" s="1" t="s">
        <v>58</v>
      </c>
      <c r="H130" s="1" t="s">
        <v>3085</v>
      </c>
      <c r="I130" s="1">
        <v>66</v>
      </c>
      <c r="J130" s="1">
        <v>6</v>
      </c>
      <c r="K130" s="1">
        <v>1</v>
      </c>
      <c r="L130" s="1">
        <v>7</v>
      </c>
      <c r="M130" s="1" t="s">
        <v>198</v>
      </c>
      <c r="N130" s="1" t="s">
        <v>146</v>
      </c>
      <c r="O130" s="1" t="s">
        <v>199</v>
      </c>
      <c r="P130" s="1" t="s">
        <v>9148</v>
      </c>
      <c r="Q130" s="1" t="s">
        <v>9149</v>
      </c>
      <c r="R130" s="1" t="s">
        <v>48</v>
      </c>
      <c r="S130" s="1" t="s">
        <v>9150</v>
      </c>
      <c r="T130" s="1" t="s">
        <v>9151</v>
      </c>
      <c r="U130" s="1" t="s">
        <v>10631</v>
      </c>
      <c r="V130" s="1">
        <v>2024</v>
      </c>
      <c r="W130" s="1">
        <v>63</v>
      </c>
      <c r="X130" s="1">
        <v>3</v>
      </c>
      <c r="Y130" s="1" t="s">
        <v>48</v>
      </c>
      <c r="Z130" s="1" t="s">
        <v>48</v>
      </c>
      <c r="AA130" s="1" t="s">
        <v>48</v>
      </c>
      <c r="AB130" s="1" t="s">
        <v>48</v>
      </c>
      <c r="AC130" s="1">
        <v>400</v>
      </c>
      <c r="AD130" s="1">
        <v>411</v>
      </c>
      <c r="AE130" s="1" t="s">
        <v>48</v>
      </c>
      <c r="AF130" s="1" t="s">
        <v>9152</v>
      </c>
      <c r="AG130" s="1" t="str">
        <f>HYPERLINK("http://dx.doi.org/10.1080/00218839.2021.1994259","http://dx.doi.org/10.1080/00218839.2021.1994259")</f>
        <v>http://dx.doi.org/10.1080/00218839.2021.1994259</v>
      </c>
      <c r="AH130" s="1" t="s">
        <v>48</v>
      </c>
      <c r="AI130" s="1" t="s">
        <v>10615</v>
      </c>
      <c r="AJ130" s="1">
        <v>12</v>
      </c>
      <c r="AK130" s="1" t="s">
        <v>2521</v>
      </c>
      <c r="AL130" s="1" t="s">
        <v>67</v>
      </c>
      <c r="AM130" s="1" t="s">
        <v>2521</v>
      </c>
      <c r="AN130" s="1" t="s">
        <v>48</v>
      </c>
      <c r="AO130" s="1" t="s">
        <v>48</v>
      </c>
      <c r="AP130" s="1" t="s">
        <v>48</v>
      </c>
      <c r="AQ130" s="1" t="s">
        <v>48</v>
      </c>
      <c r="AR130" s="1" t="s">
        <v>10610</v>
      </c>
    </row>
    <row r="131" spans="1:44" x14ac:dyDescent="0.45">
      <c r="A131" s="1" t="s">
        <v>9153</v>
      </c>
      <c r="B131" s="1" t="s">
        <v>9154</v>
      </c>
      <c r="C131" s="1" t="s">
        <v>2205</v>
      </c>
      <c r="D131" s="1" t="s">
        <v>52</v>
      </c>
      <c r="E131" s="1" t="s">
        <v>53</v>
      </c>
      <c r="F131" s="1" t="s">
        <v>9155</v>
      </c>
      <c r="G131" s="1" t="s">
        <v>58</v>
      </c>
      <c r="H131" s="1" t="s">
        <v>8698</v>
      </c>
      <c r="I131" s="1">
        <v>29</v>
      </c>
      <c r="J131" s="1">
        <v>2</v>
      </c>
      <c r="K131" s="1">
        <v>3</v>
      </c>
      <c r="L131" s="1">
        <v>4</v>
      </c>
      <c r="M131" s="1" t="s">
        <v>503</v>
      </c>
      <c r="N131" s="1" t="s">
        <v>504</v>
      </c>
      <c r="O131" s="1" t="s">
        <v>505</v>
      </c>
      <c r="P131" s="1" t="s">
        <v>2207</v>
      </c>
      <c r="Q131" s="1" t="s">
        <v>2208</v>
      </c>
      <c r="R131" s="1" t="s">
        <v>48</v>
      </c>
      <c r="S131" s="1" t="s">
        <v>2209</v>
      </c>
      <c r="T131" s="1" t="s">
        <v>2210</v>
      </c>
      <c r="U131" s="1" t="s">
        <v>352</v>
      </c>
      <c r="V131" s="1">
        <v>2021</v>
      </c>
      <c r="W131" s="1">
        <v>49</v>
      </c>
      <c r="X131" s="1">
        <v>11</v>
      </c>
      <c r="Y131" s="1" t="s">
        <v>48</v>
      </c>
      <c r="Z131" s="1" t="s">
        <v>48</v>
      </c>
      <c r="AA131" s="1" t="s">
        <v>48</v>
      </c>
      <c r="AB131" s="1" t="s">
        <v>48</v>
      </c>
      <c r="AC131" s="1">
        <v>2701</v>
      </c>
      <c r="AD131" s="1">
        <v>2719</v>
      </c>
      <c r="AE131" s="1" t="s">
        <v>48</v>
      </c>
      <c r="AF131" s="1" t="s">
        <v>9156</v>
      </c>
      <c r="AG131" s="1" t="str">
        <f>HYPERLINK("http://dx.doi.org/10.1007/s12524-021-01419-1","http://dx.doi.org/10.1007/s12524-021-01419-1")</f>
        <v>http://dx.doi.org/10.1007/s12524-021-01419-1</v>
      </c>
      <c r="AH131" s="1" t="s">
        <v>48</v>
      </c>
      <c r="AI131" s="1" t="s">
        <v>10612</v>
      </c>
      <c r="AJ131" s="1">
        <v>19</v>
      </c>
      <c r="AK131" s="1" t="s">
        <v>1896</v>
      </c>
      <c r="AL131" s="1" t="s">
        <v>67</v>
      </c>
      <c r="AM131" s="1" t="s">
        <v>1897</v>
      </c>
      <c r="AN131" s="1" t="s">
        <v>48</v>
      </c>
      <c r="AO131" s="1" t="s">
        <v>48</v>
      </c>
      <c r="AP131" s="1" t="s">
        <v>48</v>
      </c>
      <c r="AQ131" s="1" t="s">
        <v>48</v>
      </c>
      <c r="AR131" s="1" t="s">
        <v>10610</v>
      </c>
    </row>
    <row r="132" spans="1:44" x14ac:dyDescent="0.45">
      <c r="A132" s="1" t="s">
        <v>9157</v>
      </c>
      <c r="B132" s="1" t="s">
        <v>9158</v>
      </c>
      <c r="C132" s="1" t="s">
        <v>9159</v>
      </c>
      <c r="D132" s="1" t="s">
        <v>52</v>
      </c>
      <c r="E132" s="1" t="s">
        <v>53</v>
      </c>
      <c r="F132" s="1" t="s">
        <v>9160</v>
      </c>
      <c r="G132" s="1" t="s">
        <v>58</v>
      </c>
      <c r="H132" s="1" t="s">
        <v>9161</v>
      </c>
      <c r="I132" s="1">
        <v>70</v>
      </c>
      <c r="J132" s="1">
        <v>35</v>
      </c>
      <c r="K132" s="1">
        <v>28</v>
      </c>
      <c r="L132" s="1">
        <v>116</v>
      </c>
      <c r="M132" s="1" t="s">
        <v>503</v>
      </c>
      <c r="N132" s="1" t="s">
        <v>504</v>
      </c>
      <c r="O132" s="1" t="s">
        <v>505</v>
      </c>
      <c r="P132" s="1" t="s">
        <v>9162</v>
      </c>
      <c r="Q132" s="1" t="s">
        <v>9163</v>
      </c>
      <c r="R132" s="1" t="s">
        <v>48</v>
      </c>
      <c r="S132" s="1" t="s">
        <v>9164</v>
      </c>
      <c r="T132" s="1" t="s">
        <v>9165</v>
      </c>
      <c r="U132" s="1" t="s">
        <v>86</v>
      </c>
      <c r="V132" s="1">
        <v>2021</v>
      </c>
      <c r="W132" s="1">
        <v>24</v>
      </c>
      <c r="X132" s="1">
        <v>4</v>
      </c>
      <c r="Y132" s="1" t="s">
        <v>48</v>
      </c>
      <c r="Z132" s="1" t="s">
        <v>48</v>
      </c>
      <c r="AA132" s="1" t="s">
        <v>1260</v>
      </c>
      <c r="AB132" s="1" t="s">
        <v>48</v>
      </c>
      <c r="AC132" s="1">
        <v>969</v>
      </c>
      <c r="AD132" s="1">
        <v>977</v>
      </c>
      <c r="AE132" s="1" t="s">
        <v>48</v>
      </c>
      <c r="AF132" s="1" t="s">
        <v>9166</v>
      </c>
      <c r="AG132" s="1" t="str">
        <f>HYPERLINK("http://dx.doi.org/10.1007/s10772-021-09834-y","http://dx.doi.org/10.1007/s10772-021-09834-y")</f>
        <v>http://dx.doi.org/10.1007/s10772-021-09834-y</v>
      </c>
      <c r="AH132" s="1" t="s">
        <v>48</v>
      </c>
      <c r="AI132" s="1" t="s">
        <v>10618</v>
      </c>
      <c r="AJ132" s="1">
        <v>9</v>
      </c>
      <c r="AK132" s="1" t="s">
        <v>3913</v>
      </c>
      <c r="AL132" s="1" t="s">
        <v>124</v>
      </c>
      <c r="AM132" s="1" t="s">
        <v>1733</v>
      </c>
      <c r="AN132" s="1" t="s">
        <v>48</v>
      </c>
      <c r="AO132" s="1" t="s">
        <v>48</v>
      </c>
      <c r="AP132" s="1" t="s">
        <v>48</v>
      </c>
      <c r="AQ132" s="1" t="s">
        <v>48</v>
      </c>
      <c r="AR132" s="1" t="s">
        <v>10610</v>
      </c>
    </row>
    <row r="133" spans="1:44" x14ac:dyDescent="0.45">
      <c r="A133" s="1" t="s">
        <v>2504</v>
      </c>
      <c r="B133" s="1" t="s">
        <v>9072</v>
      </c>
      <c r="C133" s="1" t="s">
        <v>3004</v>
      </c>
      <c r="D133" s="1" t="s">
        <v>52</v>
      </c>
      <c r="E133" s="1" t="s">
        <v>53</v>
      </c>
      <c r="F133" s="1" t="s">
        <v>9073</v>
      </c>
      <c r="G133" s="1" t="s">
        <v>58</v>
      </c>
      <c r="H133" s="1" t="s">
        <v>9074</v>
      </c>
      <c r="I133" s="1">
        <v>64</v>
      </c>
      <c r="J133" s="1">
        <v>0</v>
      </c>
      <c r="K133" s="1">
        <v>1</v>
      </c>
      <c r="L133" s="1">
        <v>1</v>
      </c>
      <c r="M133" s="1" t="s">
        <v>803</v>
      </c>
      <c r="N133" s="1" t="s">
        <v>239</v>
      </c>
      <c r="O133" s="1" t="s">
        <v>804</v>
      </c>
      <c r="P133" s="1" t="s">
        <v>3010</v>
      </c>
      <c r="Q133" s="1" t="s">
        <v>3011</v>
      </c>
      <c r="R133" s="1" t="s">
        <v>48</v>
      </c>
      <c r="S133" s="1" t="s">
        <v>3012</v>
      </c>
      <c r="T133" s="1" t="s">
        <v>3013</v>
      </c>
      <c r="U133" s="1" t="s">
        <v>243</v>
      </c>
      <c r="V133" s="1">
        <v>2022</v>
      </c>
      <c r="W133" s="1">
        <v>51</v>
      </c>
      <c r="X133" s="1">
        <v>2</v>
      </c>
      <c r="Y133" s="1" t="s">
        <v>48</v>
      </c>
      <c r="Z133" s="1" t="s">
        <v>48</v>
      </c>
      <c r="AA133" s="1" t="s">
        <v>48</v>
      </c>
      <c r="AB133" s="1" t="s">
        <v>48</v>
      </c>
      <c r="AC133" s="1">
        <v>216</v>
      </c>
      <c r="AD133" s="1">
        <v>226</v>
      </c>
      <c r="AE133" s="1" t="s">
        <v>48</v>
      </c>
      <c r="AF133" s="1" t="s">
        <v>9075</v>
      </c>
      <c r="AG133" s="1" t="str">
        <f>HYPERLINK("http://dx.doi.org/10.1007/s12596-021-00783-y","http://dx.doi.org/10.1007/s12596-021-00783-y")</f>
        <v>http://dx.doi.org/10.1007/s12596-021-00783-y</v>
      </c>
      <c r="AH133" s="1" t="s">
        <v>48</v>
      </c>
      <c r="AI133" s="1" t="s">
        <v>10615</v>
      </c>
      <c r="AJ133" s="1">
        <v>11</v>
      </c>
      <c r="AK133" s="1" t="s">
        <v>3015</v>
      </c>
      <c r="AL133" s="1" t="s">
        <v>124</v>
      </c>
      <c r="AM133" s="1" t="s">
        <v>3015</v>
      </c>
      <c r="AN133" s="1" t="s">
        <v>48</v>
      </c>
      <c r="AO133" s="1" t="s">
        <v>48</v>
      </c>
      <c r="AP133" s="1" t="s">
        <v>48</v>
      </c>
      <c r="AQ133" s="1" t="s">
        <v>48</v>
      </c>
      <c r="AR133" s="1" t="s">
        <v>10610</v>
      </c>
    </row>
    <row r="134" spans="1:44" x14ac:dyDescent="0.45">
      <c r="A134" s="1" t="s">
        <v>9076</v>
      </c>
      <c r="B134" s="1" t="s">
        <v>9077</v>
      </c>
      <c r="C134" s="1" t="s">
        <v>9078</v>
      </c>
      <c r="D134" s="1" t="s">
        <v>52</v>
      </c>
      <c r="E134" s="1" t="s">
        <v>53</v>
      </c>
      <c r="F134" s="1" t="s">
        <v>9079</v>
      </c>
      <c r="G134" s="1" t="s">
        <v>58</v>
      </c>
      <c r="H134" s="1" t="s">
        <v>9080</v>
      </c>
      <c r="I134" s="1">
        <v>29</v>
      </c>
      <c r="J134" s="1">
        <v>4</v>
      </c>
      <c r="K134" s="1">
        <v>0</v>
      </c>
      <c r="L134" s="1">
        <v>4</v>
      </c>
      <c r="M134" s="1" t="s">
        <v>198</v>
      </c>
      <c r="N134" s="1" t="s">
        <v>146</v>
      </c>
      <c r="O134" s="1" t="s">
        <v>199</v>
      </c>
      <c r="P134" s="1" t="s">
        <v>9081</v>
      </c>
      <c r="Q134" s="1" t="s">
        <v>9082</v>
      </c>
      <c r="R134" s="1" t="s">
        <v>48</v>
      </c>
      <c r="S134" s="1" t="s">
        <v>9083</v>
      </c>
      <c r="T134" s="1" t="s">
        <v>9084</v>
      </c>
      <c r="U134" s="1" t="s">
        <v>890</v>
      </c>
      <c r="V134" s="1">
        <v>2021</v>
      </c>
      <c r="W134" s="1">
        <v>13</v>
      </c>
      <c r="X134" s="1">
        <v>1</v>
      </c>
      <c r="Y134" s="1" t="s">
        <v>48</v>
      </c>
      <c r="Z134" s="1" t="s">
        <v>48</v>
      </c>
      <c r="AA134" s="1" t="s">
        <v>48</v>
      </c>
      <c r="AB134" s="1" t="s">
        <v>48</v>
      </c>
      <c r="AC134" s="1">
        <v>40</v>
      </c>
      <c r="AD134" s="1">
        <v>57</v>
      </c>
      <c r="AE134" s="1" t="s">
        <v>48</v>
      </c>
      <c r="AF134" s="1" t="s">
        <v>9085</v>
      </c>
      <c r="AG134" s="1" t="str">
        <f>HYPERLINK("http://dx.doi.org/10.1080/16168658.2021.1915454","http://dx.doi.org/10.1080/16168658.2021.1915454")</f>
        <v>http://dx.doi.org/10.1080/16168658.2021.1915454</v>
      </c>
      <c r="AH134" s="1" t="s">
        <v>48</v>
      </c>
      <c r="AI134" s="1" t="s">
        <v>10613</v>
      </c>
      <c r="AJ134" s="1">
        <v>18</v>
      </c>
      <c r="AK134" s="1" t="s">
        <v>260</v>
      </c>
      <c r="AL134" s="1" t="s">
        <v>124</v>
      </c>
      <c r="AM134" s="1" t="s">
        <v>137</v>
      </c>
      <c r="AN134" s="1" t="s">
        <v>48</v>
      </c>
      <c r="AO134" s="1" t="s">
        <v>125</v>
      </c>
      <c r="AP134" s="1" t="s">
        <v>48</v>
      </c>
      <c r="AQ134" s="1" t="s">
        <v>48</v>
      </c>
      <c r="AR134" s="1" t="s">
        <v>10610</v>
      </c>
    </row>
    <row r="135" spans="1:44" x14ac:dyDescent="0.45">
      <c r="A135" s="1" t="s">
        <v>9086</v>
      </c>
      <c r="B135" s="1" t="s">
        <v>9087</v>
      </c>
      <c r="C135" s="1" t="s">
        <v>9088</v>
      </c>
      <c r="D135" s="1" t="s">
        <v>52</v>
      </c>
      <c r="E135" s="1" t="s">
        <v>53</v>
      </c>
      <c r="F135" s="1" t="s">
        <v>9089</v>
      </c>
      <c r="G135" s="1" t="s">
        <v>58</v>
      </c>
      <c r="H135" s="1" t="s">
        <v>2513</v>
      </c>
      <c r="I135" s="1">
        <v>38</v>
      </c>
      <c r="J135" s="1">
        <v>31</v>
      </c>
      <c r="K135" s="1">
        <v>4</v>
      </c>
      <c r="L135" s="1">
        <v>22</v>
      </c>
      <c r="M135" s="1" t="s">
        <v>79</v>
      </c>
      <c r="N135" s="1" t="s">
        <v>80</v>
      </c>
      <c r="O135" s="1" t="s">
        <v>81</v>
      </c>
      <c r="P135" s="1" t="s">
        <v>9090</v>
      </c>
      <c r="Q135" s="1" t="s">
        <v>9091</v>
      </c>
      <c r="R135" s="1" t="s">
        <v>48</v>
      </c>
      <c r="S135" s="1" t="s">
        <v>9092</v>
      </c>
      <c r="T135" s="1" t="s">
        <v>9093</v>
      </c>
      <c r="U135" s="1" t="s">
        <v>243</v>
      </c>
      <c r="V135" s="1">
        <v>2021</v>
      </c>
      <c r="W135" s="1">
        <v>66</v>
      </c>
      <c r="X135" s="1">
        <v>1</v>
      </c>
      <c r="Y135" s="1" t="s">
        <v>48</v>
      </c>
      <c r="Z135" s="1" t="s">
        <v>48</v>
      </c>
      <c r="AA135" s="1" t="s">
        <v>48</v>
      </c>
      <c r="AB135" s="1" t="s">
        <v>48</v>
      </c>
      <c r="AC135" s="1">
        <v>38</v>
      </c>
      <c r="AD135" s="1">
        <v>45</v>
      </c>
      <c r="AE135" s="1" t="s">
        <v>48</v>
      </c>
      <c r="AF135" s="1" t="s">
        <v>9094</v>
      </c>
      <c r="AG135" s="1" t="str">
        <f>HYPERLINK("http://dx.doi.org/10.1016/j.aoas.2021.02.004","http://dx.doi.org/10.1016/j.aoas.2021.02.004")</f>
        <v>http://dx.doi.org/10.1016/j.aoas.2021.02.004</v>
      </c>
      <c r="AH135" s="1" t="s">
        <v>48</v>
      </c>
      <c r="AI135" s="1" t="s">
        <v>10618</v>
      </c>
      <c r="AJ135" s="1">
        <v>8</v>
      </c>
      <c r="AK135" s="1" t="s">
        <v>3532</v>
      </c>
      <c r="AL135" s="1" t="s">
        <v>67</v>
      </c>
      <c r="AM135" s="1" t="s">
        <v>3370</v>
      </c>
      <c r="AN135" s="1" t="s">
        <v>48</v>
      </c>
      <c r="AO135" s="1" t="s">
        <v>125</v>
      </c>
      <c r="AP135" s="1" t="s">
        <v>48</v>
      </c>
      <c r="AQ135" s="1" t="s">
        <v>48</v>
      </c>
      <c r="AR135" s="1" t="s">
        <v>10610</v>
      </c>
    </row>
    <row r="136" spans="1:44" x14ac:dyDescent="0.45">
      <c r="A136" s="1" t="s">
        <v>8872</v>
      </c>
      <c r="B136" s="1" t="s">
        <v>9095</v>
      </c>
      <c r="C136" s="1" t="s">
        <v>8874</v>
      </c>
      <c r="D136" s="1" t="s">
        <v>52</v>
      </c>
      <c r="E136" s="1" t="s">
        <v>1802</v>
      </c>
      <c r="F136" s="1" t="s">
        <v>8886</v>
      </c>
      <c r="G136" s="1" t="s">
        <v>58</v>
      </c>
      <c r="H136" s="1" t="s">
        <v>8876</v>
      </c>
      <c r="I136" s="1">
        <v>12</v>
      </c>
      <c r="J136" s="1">
        <v>0</v>
      </c>
      <c r="K136" s="1">
        <v>0</v>
      </c>
      <c r="L136" s="1">
        <v>0</v>
      </c>
      <c r="M136" s="1" t="s">
        <v>1805</v>
      </c>
      <c r="N136" s="1" t="s">
        <v>146</v>
      </c>
      <c r="O136" s="1" t="s">
        <v>1806</v>
      </c>
      <c r="P136" s="1" t="s">
        <v>8877</v>
      </c>
      <c r="Q136" s="1" t="s">
        <v>8878</v>
      </c>
      <c r="R136" s="1" t="s">
        <v>8879</v>
      </c>
      <c r="S136" s="1" t="s">
        <v>8880</v>
      </c>
      <c r="T136" s="1" t="s">
        <v>48</v>
      </c>
      <c r="U136" s="1" t="s">
        <v>48</v>
      </c>
      <c r="V136" s="1">
        <v>2021</v>
      </c>
      <c r="W136" s="1" t="s">
        <v>48</v>
      </c>
      <c r="X136" s="1" t="s">
        <v>48</v>
      </c>
      <c r="Y136" s="1" t="s">
        <v>48</v>
      </c>
      <c r="Z136" s="1" t="s">
        <v>48</v>
      </c>
      <c r="AA136" s="1" t="s">
        <v>48</v>
      </c>
      <c r="AB136" s="1" t="s">
        <v>48</v>
      </c>
      <c r="AC136" s="1">
        <v>1</v>
      </c>
      <c r="AD136" s="1">
        <v>10</v>
      </c>
      <c r="AE136" s="1" t="s">
        <v>48</v>
      </c>
      <c r="AF136" s="1" t="s">
        <v>48</v>
      </c>
      <c r="AG136" s="1" t="s">
        <v>48</v>
      </c>
      <c r="AH136" s="1" t="s">
        <v>8882</v>
      </c>
      <c r="AI136" s="1" t="s">
        <v>48</v>
      </c>
      <c r="AJ136" s="1">
        <v>10</v>
      </c>
      <c r="AK136" s="1" t="s">
        <v>8883</v>
      </c>
      <c r="AL136" s="1" t="s">
        <v>592</v>
      </c>
      <c r="AM136" s="1" t="s">
        <v>8884</v>
      </c>
      <c r="AN136" s="1" t="s">
        <v>48</v>
      </c>
      <c r="AO136" s="1" t="s">
        <v>48</v>
      </c>
      <c r="AP136" s="1" t="s">
        <v>48</v>
      </c>
      <c r="AQ136" s="1" t="s">
        <v>48</v>
      </c>
      <c r="AR136" s="1" t="s">
        <v>10610</v>
      </c>
    </row>
    <row r="137" spans="1:44" x14ac:dyDescent="0.45">
      <c r="A137" s="1" t="s">
        <v>8872</v>
      </c>
      <c r="B137" s="1" t="s">
        <v>9096</v>
      </c>
      <c r="C137" s="1" t="s">
        <v>8874</v>
      </c>
      <c r="D137" s="1" t="s">
        <v>52</v>
      </c>
      <c r="E137" s="1" t="s">
        <v>585</v>
      </c>
      <c r="F137" s="1" t="s">
        <v>8886</v>
      </c>
      <c r="G137" s="1" t="s">
        <v>58</v>
      </c>
      <c r="H137" s="1" t="s">
        <v>8876</v>
      </c>
      <c r="I137" s="1">
        <v>13</v>
      </c>
      <c r="J137" s="1">
        <v>0</v>
      </c>
      <c r="K137" s="1">
        <v>1</v>
      </c>
      <c r="L137" s="1">
        <v>1</v>
      </c>
      <c r="M137" s="1" t="s">
        <v>1805</v>
      </c>
      <c r="N137" s="1" t="s">
        <v>146</v>
      </c>
      <c r="O137" s="1" t="s">
        <v>1806</v>
      </c>
      <c r="P137" s="1" t="s">
        <v>8877</v>
      </c>
      <c r="Q137" s="1" t="s">
        <v>8878</v>
      </c>
      <c r="R137" s="1" t="s">
        <v>8879</v>
      </c>
      <c r="S137" s="1" t="s">
        <v>8880</v>
      </c>
      <c r="T137" s="1" t="s">
        <v>48</v>
      </c>
      <c r="U137" s="1" t="s">
        <v>48</v>
      </c>
      <c r="V137" s="1">
        <v>2021</v>
      </c>
      <c r="W137" s="1" t="s">
        <v>48</v>
      </c>
      <c r="X137" s="1" t="s">
        <v>48</v>
      </c>
      <c r="Y137" s="1" t="s">
        <v>48</v>
      </c>
      <c r="Z137" s="1" t="s">
        <v>48</v>
      </c>
      <c r="AA137" s="1" t="s">
        <v>48</v>
      </c>
      <c r="AB137" s="1" t="s">
        <v>48</v>
      </c>
      <c r="AC137" s="1">
        <v>11</v>
      </c>
      <c r="AD137" s="1">
        <v>20</v>
      </c>
      <c r="AE137" s="1" t="s">
        <v>48</v>
      </c>
      <c r="AF137" s="1" t="s">
        <v>48</v>
      </c>
      <c r="AG137" s="1" t="s">
        <v>48</v>
      </c>
      <c r="AH137" s="1" t="s">
        <v>8882</v>
      </c>
      <c r="AI137" s="1" t="s">
        <v>48</v>
      </c>
      <c r="AJ137" s="1">
        <v>10</v>
      </c>
      <c r="AK137" s="1" t="s">
        <v>8883</v>
      </c>
      <c r="AL137" s="1" t="s">
        <v>592</v>
      </c>
      <c r="AM137" s="1" t="s">
        <v>8884</v>
      </c>
      <c r="AN137" s="1" t="s">
        <v>48</v>
      </c>
      <c r="AO137" s="1" t="s">
        <v>48</v>
      </c>
      <c r="AP137" s="1" t="s">
        <v>48</v>
      </c>
      <c r="AQ137" s="1" t="s">
        <v>48</v>
      </c>
      <c r="AR137" s="1" t="s">
        <v>10610</v>
      </c>
    </row>
    <row r="138" spans="1:44" x14ac:dyDescent="0.45">
      <c r="A138" s="1" t="s">
        <v>9097</v>
      </c>
      <c r="B138" s="1" t="s">
        <v>9098</v>
      </c>
      <c r="C138" s="1" t="s">
        <v>9099</v>
      </c>
      <c r="D138" s="1" t="s">
        <v>52</v>
      </c>
      <c r="E138" s="1" t="s">
        <v>53</v>
      </c>
      <c r="F138" s="1" t="s">
        <v>9100</v>
      </c>
      <c r="G138" s="1" t="s">
        <v>58</v>
      </c>
      <c r="H138" s="1" t="s">
        <v>9101</v>
      </c>
      <c r="I138" s="1">
        <v>140</v>
      </c>
      <c r="J138" s="1">
        <v>24</v>
      </c>
      <c r="K138" s="1">
        <v>7</v>
      </c>
      <c r="L138" s="1">
        <v>50</v>
      </c>
      <c r="M138" s="1" t="s">
        <v>347</v>
      </c>
      <c r="N138" s="1" t="s">
        <v>348</v>
      </c>
      <c r="O138" s="1" t="s">
        <v>349</v>
      </c>
      <c r="P138" s="1" t="s">
        <v>9102</v>
      </c>
      <c r="Q138" s="1" t="s">
        <v>9103</v>
      </c>
      <c r="R138" s="1" t="s">
        <v>48</v>
      </c>
      <c r="S138" s="1" t="s">
        <v>9104</v>
      </c>
      <c r="T138" s="1" t="s">
        <v>9105</v>
      </c>
      <c r="U138" s="1" t="s">
        <v>86</v>
      </c>
      <c r="V138" s="1">
        <v>2021</v>
      </c>
      <c r="W138" s="1">
        <v>108</v>
      </c>
      <c r="X138" s="1">
        <v>6</v>
      </c>
      <c r="Y138" s="1" t="s">
        <v>48</v>
      </c>
      <c r="Z138" s="1" t="s">
        <v>48</v>
      </c>
      <c r="AA138" s="1" t="s">
        <v>48</v>
      </c>
      <c r="AB138" s="1" t="s">
        <v>48</v>
      </c>
      <c r="AC138" s="1">
        <v>1565</v>
      </c>
      <c r="AD138" s="1">
        <v>1584</v>
      </c>
      <c r="AE138" s="1" t="s">
        <v>48</v>
      </c>
      <c r="AF138" s="1" t="s">
        <v>9106</v>
      </c>
      <c r="AG138" s="1" t="str">
        <f>HYPERLINK("http://dx.doi.org/10.1111/tpj.15536","http://dx.doi.org/10.1111/tpj.15536")</f>
        <v>http://dx.doi.org/10.1111/tpj.15536</v>
      </c>
      <c r="AH138" s="1" t="s">
        <v>48</v>
      </c>
      <c r="AI138" s="1" t="s">
        <v>10615</v>
      </c>
      <c r="AJ138" s="1">
        <v>20</v>
      </c>
      <c r="AK138" s="1" t="s">
        <v>426</v>
      </c>
      <c r="AL138" s="1" t="s">
        <v>67</v>
      </c>
      <c r="AM138" s="1" t="s">
        <v>426</v>
      </c>
      <c r="AN138" s="1">
        <v>34628690</v>
      </c>
      <c r="AO138" s="1" t="s">
        <v>550</v>
      </c>
      <c r="AP138" s="1" t="s">
        <v>48</v>
      </c>
      <c r="AQ138" s="1" t="s">
        <v>48</v>
      </c>
      <c r="AR138" s="1" t="s">
        <v>10610</v>
      </c>
    </row>
    <row r="139" spans="1:44" x14ac:dyDescent="0.45">
      <c r="A139" s="1" t="s">
        <v>2689</v>
      </c>
      <c r="B139" s="1" t="s">
        <v>9107</v>
      </c>
      <c r="C139" s="1" t="s">
        <v>1150</v>
      </c>
      <c r="D139" s="1" t="s">
        <v>52</v>
      </c>
      <c r="E139" s="1" t="s">
        <v>53</v>
      </c>
      <c r="F139" s="1" t="s">
        <v>9108</v>
      </c>
      <c r="G139" s="1" t="s">
        <v>58</v>
      </c>
      <c r="H139" s="1" t="s">
        <v>9109</v>
      </c>
      <c r="I139" s="1">
        <v>30</v>
      </c>
      <c r="J139" s="1">
        <v>1</v>
      </c>
      <c r="K139" s="1">
        <v>2</v>
      </c>
      <c r="L139" s="1">
        <v>3</v>
      </c>
      <c r="M139" s="1" t="s">
        <v>517</v>
      </c>
      <c r="N139" s="1" t="s">
        <v>239</v>
      </c>
      <c r="O139" s="1" t="s">
        <v>518</v>
      </c>
      <c r="P139" s="1" t="s">
        <v>1153</v>
      </c>
      <c r="Q139" s="1" t="s">
        <v>1154</v>
      </c>
      <c r="R139" s="1" t="s">
        <v>48</v>
      </c>
      <c r="S139" s="1" t="s">
        <v>1155</v>
      </c>
      <c r="T139" s="1" t="s">
        <v>1156</v>
      </c>
      <c r="U139" s="1" t="s">
        <v>320</v>
      </c>
      <c r="V139" s="1">
        <v>2021</v>
      </c>
      <c r="W139" s="1">
        <v>68</v>
      </c>
      <c r="X139" s="1">
        <v>1</v>
      </c>
      <c r="Y139" s="1" t="s">
        <v>48</v>
      </c>
      <c r="Z139" s="1" t="s">
        <v>48</v>
      </c>
      <c r="AA139" s="1" t="s">
        <v>48</v>
      </c>
      <c r="AB139" s="1" t="s">
        <v>48</v>
      </c>
      <c r="AC139" s="1">
        <v>28</v>
      </c>
      <c r="AD139" s="1">
        <v>38</v>
      </c>
      <c r="AE139" s="1" t="s">
        <v>48</v>
      </c>
      <c r="AF139" s="1" t="s">
        <v>48</v>
      </c>
      <c r="AG139" s="1" t="s">
        <v>48</v>
      </c>
      <c r="AH139" s="1" t="s">
        <v>48</v>
      </c>
      <c r="AI139" s="1" t="s">
        <v>48</v>
      </c>
      <c r="AJ139" s="1">
        <v>11</v>
      </c>
      <c r="AK139" s="1" t="s">
        <v>1158</v>
      </c>
      <c r="AL139" s="1" t="s">
        <v>124</v>
      </c>
      <c r="AM139" s="1" t="s">
        <v>1158</v>
      </c>
      <c r="AN139" s="1" t="s">
        <v>48</v>
      </c>
      <c r="AO139" s="1" t="s">
        <v>48</v>
      </c>
      <c r="AP139" s="1" t="s">
        <v>48</v>
      </c>
      <c r="AQ139" s="1" t="s">
        <v>48</v>
      </c>
      <c r="AR139" s="1" t="s">
        <v>10610</v>
      </c>
    </row>
    <row r="140" spans="1:44" x14ac:dyDescent="0.45">
      <c r="A140" s="1" t="s">
        <v>8872</v>
      </c>
      <c r="B140" s="1" t="s">
        <v>9110</v>
      </c>
      <c r="C140" s="1" t="s">
        <v>8874</v>
      </c>
      <c r="D140" s="1" t="s">
        <v>52</v>
      </c>
      <c r="E140" s="1" t="s">
        <v>585</v>
      </c>
      <c r="F140" s="1" t="s">
        <v>8886</v>
      </c>
      <c r="G140" s="1" t="s">
        <v>58</v>
      </c>
      <c r="H140" s="1" t="s">
        <v>8876</v>
      </c>
      <c r="I140" s="1">
        <v>24</v>
      </c>
      <c r="J140" s="1">
        <v>0</v>
      </c>
      <c r="K140" s="1">
        <v>1</v>
      </c>
      <c r="L140" s="1">
        <v>1</v>
      </c>
      <c r="M140" s="1" t="s">
        <v>1805</v>
      </c>
      <c r="N140" s="1" t="s">
        <v>146</v>
      </c>
      <c r="O140" s="1" t="s">
        <v>1806</v>
      </c>
      <c r="P140" s="1" t="s">
        <v>8877</v>
      </c>
      <c r="Q140" s="1" t="s">
        <v>8878</v>
      </c>
      <c r="R140" s="1" t="s">
        <v>8879</v>
      </c>
      <c r="S140" s="1" t="s">
        <v>8880</v>
      </c>
      <c r="T140" s="1" t="s">
        <v>48</v>
      </c>
      <c r="U140" s="1" t="s">
        <v>48</v>
      </c>
      <c r="V140" s="1">
        <v>2021</v>
      </c>
      <c r="W140" s="1" t="s">
        <v>48</v>
      </c>
      <c r="X140" s="1" t="s">
        <v>48</v>
      </c>
      <c r="Y140" s="1" t="s">
        <v>48</v>
      </c>
      <c r="Z140" s="1" t="s">
        <v>48</v>
      </c>
      <c r="AA140" s="1" t="s">
        <v>48</v>
      </c>
      <c r="AB140" s="1" t="s">
        <v>48</v>
      </c>
      <c r="AC140" s="1">
        <v>52</v>
      </c>
      <c r="AD140" s="1">
        <v>69</v>
      </c>
      <c r="AE140" s="1" t="s">
        <v>48</v>
      </c>
      <c r="AF140" s="1" t="s">
        <v>48</v>
      </c>
      <c r="AG140" s="1" t="s">
        <v>48</v>
      </c>
      <c r="AH140" s="1" t="s">
        <v>8882</v>
      </c>
      <c r="AI140" s="1" t="s">
        <v>48</v>
      </c>
      <c r="AJ140" s="1">
        <v>18</v>
      </c>
      <c r="AK140" s="1" t="s">
        <v>8883</v>
      </c>
      <c r="AL140" s="1" t="s">
        <v>592</v>
      </c>
      <c r="AM140" s="1" t="s">
        <v>8884</v>
      </c>
      <c r="AN140" s="1" t="s">
        <v>48</v>
      </c>
      <c r="AO140" s="1" t="s">
        <v>48</v>
      </c>
      <c r="AP140" s="1" t="s">
        <v>48</v>
      </c>
      <c r="AQ140" s="1" t="s">
        <v>48</v>
      </c>
      <c r="AR140" s="1" t="s">
        <v>10610</v>
      </c>
    </row>
    <row r="141" spans="1:44" x14ac:dyDescent="0.45">
      <c r="A141" s="1" t="s">
        <v>9140</v>
      </c>
      <c r="B141" s="1" t="s">
        <v>9141</v>
      </c>
      <c r="C141" s="1" t="s">
        <v>1030</v>
      </c>
      <c r="D141" s="1" t="s">
        <v>52</v>
      </c>
      <c r="E141" s="1" t="s">
        <v>53</v>
      </c>
      <c r="F141" s="1" t="s">
        <v>9142</v>
      </c>
      <c r="G141" s="1" t="s">
        <v>58</v>
      </c>
      <c r="H141" s="1" t="s">
        <v>1045</v>
      </c>
      <c r="I141" s="1">
        <v>43</v>
      </c>
      <c r="J141" s="1">
        <v>25</v>
      </c>
      <c r="K141" s="1">
        <v>0</v>
      </c>
      <c r="L141" s="1">
        <v>5</v>
      </c>
      <c r="M141" s="1" t="s">
        <v>252</v>
      </c>
      <c r="N141" s="1" t="s">
        <v>253</v>
      </c>
      <c r="O141" s="1" t="s">
        <v>254</v>
      </c>
      <c r="P141" s="1" t="s">
        <v>1036</v>
      </c>
      <c r="Q141" s="1" t="s">
        <v>1037</v>
      </c>
      <c r="R141" s="1" t="s">
        <v>48</v>
      </c>
      <c r="S141" s="1" t="s">
        <v>1038</v>
      </c>
      <c r="T141" s="1" t="s">
        <v>1039</v>
      </c>
      <c r="U141" s="1" t="s">
        <v>598</v>
      </c>
      <c r="V141" s="1">
        <v>2022</v>
      </c>
      <c r="W141" s="1">
        <v>68</v>
      </c>
      <c r="X141" s="1">
        <v>4</v>
      </c>
      <c r="Y141" s="1" t="s">
        <v>48</v>
      </c>
      <c r="Z141" s="1" t="s">
        <v>48</v>
      </c>
      <c r="AA141" s="1" t="s">
        <v>48</v>
      </c>
      <c r="AB141" s="1" t="s">
        <v>48</v>
      </c>
      <c r="AC141" s="1">
        <v>2317</v>
      </c>
      <c r="AD141" s="1">
        <v>2341</v>
      </c>
      <c r="AE141" s="1" t="s">
        <v>48</v>
      </c>
      <c r="AF141" s="1" t="s">
        <v>9143</v>
      </c>
      <c r="AG141" s="1" t="str">
        <f>HYPERLINK("http://dx.doi.org/10.1007/s12190-021-01619-5","http://dx.doi.org/10.1007/s12190-021-01619-5")</f>
        <v>http://dx.doi.org/10.1007/s12190-021-01619-5</v>
      </c>
      <c r="AH141" s="1" t="s">
        <v>48</v>
      </c>
      <c r="AI141" s="1" t="s">
        <v>10612</v>
      </c>
      <c r="AJ141" s="1">
        <v>25</v>
      </c>
      <c r="AK141" s="1" t="s">
        <v>1041</v>
      </c>
      <c r="AL141" s="1" t="s">
        <v>67</v>
      </c>
      <c r="AM141" s="1" t="s">
        <v>137</v>
      </c>
      <c r="AN141" s="1" t="s">
        <v>48</v>
      </c>
      <c r="AO141" s="1" t="s">
        <v>48</v>
      </c>
      <c r="AP141" s="1" t="s">
        <v>48</v>
      </c>
      <c r="AQ141" s="1" t="s">
        <v>48</v>
      </c>
      <c r="AR141" s="1" t="s">
        <v>10610</v>
      </c>
    </row>
    <row r="142" spans="1:44" x14ac:dyDescent="0.45">
      <c r="A142" s="1" t="s">
        <v>9180</v>
      </c>
      <c r="B142" s="1" t="s">
        <v>9181</v>
      </c>
      <c r="C142" s="1" t="s">
        <v>9182</v>
      </c>
      <c r="D142" s="1" t="s">
        <v>52</v>
      </c>
      <c r="E142" s="1" t="s">
        <v>53</v>
      </c>
      <c r="F142" s="1" t="s">
        <v>9183</v>
      </c>
      <c r="G142" s="1" t="s">
        <v>58</v>
      </c>
      <c r="H142" s="1" t="s">
        <v>6071</v>
      </c>
      <c r="I142" s="1">
        <v>52</v>
      </c>
      <c r="J142" s="1">
        <v>2</v>
      </c>
      <c r="K142" s="1">
        <v>0</v>
      </c>
      <c r="L142" s="1">
        <v>7</v>
      </c>
      <c r="M142" s="1" t="s">
        <v>79</v>
      </c>
      <c r="N142" s="1" t="s">
        <v>80</v>
      </c>
      <c r="O142" s="1" t="s">
        <v>81</v>
      </c>
      <c r="P142" s="1" t="s">
        <v>9184</v>
      </c>
      <c r="Q142" s="1" t="s">
        <v>9185</v>
      </c>
      <c r="R142" s="1" t="s">
        <v>48</v>
      </c>
      <c r="S142" s="1" t="s">
        <v>9186</v>
      </c>
      <c r="T142" s="1" t="s">
        <v>9187</v>
      </c>
      <c r="U142" s="1" t="s">
        <v>103</v>
      </c>
      <c r="V142" s="1">
        <v>2021</v>
      </c>
      <c r="W142" s="1">
        <v>86</v>
      </c>
      <c r="X142" s="1" t="s">
        <v>48</v>
      </c>
      <c r="Y142" s="1" t="s">
        <v>48</v>
      </c>
      <c r="Z142" s="1" t="s">
        <v>48</v>
      </c>
      <c r="AA142" s="1" t="s">
        <v>48</v>
      </c>
      <c r="AB142" s="1" t="s">
        <v>48</v>
      </c>
      <c r="AC142" s="1" t="s">
        <v>48</v>
      </c>
      <c r="AD142" s="1" t="s">
        <v>48</v>
      </c>
      <c r="AE142" s="1">
        <v>101567</v>
      </c>
      <c r="AF142" s="1" t="s">
        <v>9188</v>
      </c>
      <c r="AG142" s="1" t="str">
        <f>HYPERLINK("http://dx.doi.org/10.1016/j.newast.2020.101567","http://dx.doi.org/10.1016/j.newast.2020.101567")</f>
        <v>http://dx.doi.org/10.1016/j.newast.2020.101567</v>
      </c>
      <c r="AH142" s="1" t="s">
        <v>48</v>
      </c>
      <c r="AI142" s="1" t="s">
        <v>10619</v>
      </c>
      <c r="AJ142" s="1">
        <v>6</v>
      </c>
      <c r="AK142" s="1" t="s">
        <v>5077</v>
      </c>
      <c r="AL142" s="1" t="s">
        <v>67</v>
      </c>
      <c r="AM142" s="1" t="s">
        <v>5077</v>
      </c>
      <c r="AN142" s="1" t="s">
        <v>48</v>
      </c>
      <c r="AO142" s="1" t="s">
        <v>2074</v>
      </c>
      <c r="AP142" s="1" t="s">
        <v>48</v>
      </c>
      <c r="AQ142" s="1" t="s">
        <v>48</v>
      </c>
      <c r="AR142" s="1" t="s">
        <v>10610</v>
      </c>
    </row>
    <row r="143" spans="1:44" x14ac:dyDescent="0.45">
      <c r="A143" s="1" t="s">
        <v>2597</v>
      </c>
      <c r="B143" s="1" t="s">
        <v>9189</v>
      </c>
      <c r="C143" s="1" t="s">
        <v>1686</v>
      </c>
      <c r="D143" s="1" t="s">
        <v>52</v>
      </c>
      <c r="E143" s="1" t="s">
        <v>53</v>
      </c>
      <c r="F143" s="1" t="s">
        <v>9190</v>
      </c>
      <c r="G143" s="1" t="s">
        <v>58</v>
      </c>
      <c r="H143" s="1" t="s">
        <v>5365</v>
      </c>
      <c r="I143" s="1">
        <v>17</v>
      </c>
      <c r="J143" s="1">
        <v>0</v>
      </c>
      <c r="K143" s="1">
        <v>3</v>
      </c>
      <c r="L143" s="1">
        <v>7</v>
      </c>
      <c r="M143" s="1" t="s">
        <v>1687</v>
      </c>
      <c r="N143" s="1" t="s">
        <v>1688</v>
      </c>
      <c r="O143" s="1" t="s">
        <v>1689</v>
      </c>
      <c r="P143" s="1" t="s">
        <v>1690</v>
      </c>
      <c r="Q143" s="1" t="s">
        <v>1691</v>
      </c>
      <c r="R143" s="1" t="s">
        <v>48</v>
      </c>
      <c r="S143" s="1" t="s">
        <v>1692</v>
      </c>
      <c r="T143" s="1" t="s">
        <v>1693</v>
      </c>
      <c r="U143" s="1" t="s">
        <v>1694</v>
      </c>
      <c r="V143" s="1">
        <v>2021</v>
      </c>
      <c r="W143" s="1">
        <v>10</v>
      </c>
      <c r="X143" s="1">
        <v>3</v>
      </c>
      <c r="Y143" s="1" t="s">
        <v>48</v>
      </c>
      <c r="Z143" s="1" t="s">
        <v>48</v>
      </c>
      <c r="AA143" s="1" t="s">
        <v>1260</v>
      </c>
      <c r="AB143" s="1" t="s">
        <v>48</v>
      </c>
      <c r="AC143" s="1">
        <v>304</v>
      </c>
      <c r="AD143" s="1">
        <v>317</v>
      </c>
      <c r="AE143" s="1" t="s">
        <v>48</v>
      </c>
      <c r="AF143" s="1" t="s">
        <v>9191</v>
      </c>
      <c r="AG143" s="1" t="str">
        <f>HYPERLINK("http://dx.doi.org/10.5530/jscires.10.3.47","http://dx.doi.org/10.5530/jscires.10.3.47")</f>
        <v>http://dx.doi.org/10.5530/jscires.10.3.47</v>
      </c>
      <c r="AH143" s="1" t="s">
        <v>48</v>
      </c>
      <c r="AI143" s="1" t="s">
        <v>48</v>
      </c>
      <c r="AJ143" s="1">
        <v>14</v>
      </c>
      <c r="AK143" s="1" t="s">
        <v>1158</v>
      </c>
      <c r="AL143" s="1" t="s">
        <v>124</v>
      </c>
      <c r="AM143" s="1" t="s">
        <v>1158</v>
      </c>
      <c r="AN143" s="1" t="s">
        <v>48</v>
      </c>
      <c r="AO143" s="1" t="s">
        <v>1696</v>
      </c>
      <c r="AP143" s="1" t="s">
        <v>48</v>
      </c>
      <c r="AQ143" s="1" t="s">
        <v>48</v>
      </c>
      <c r="AR143" s="1" t="s">
        <v>10610</v>
      </c>
    </row>
    <row r="144" spans="1:44" x14ac:dyDescent="0.45">
      <c r="A144" s="1" t="s">
        <v>9192</v>
      </c>
      <c r="B144" s="1" t="s">
        <v>9193</v>
      </c>
      <c r="C144" s="1" t="s">
        <v>2791</v>
      </c>
      <c r="D144" s="1" t="s">
        <v>52</v>
      </c>
      <c r="E144" s="1" t="s">
        <v>53</v>
      </c>
      <c r="F144" s="1" t="s">
        <v>9194</v>
      </c>
      <c r="G144" s="1" t="s">
        <v>58</v>
      </c>
      <c r="H144" s="1" t="s">
        <v>9195</v>
      </c>
      <c r="I144" s="1">
        <v>60</v>
      </c>
      <c r="J144" s="1">
        <v>5</v>
      </c>
      <c r="K144" s="1">
        <v>1</v>
      </c>
      <c r="L144" s="1">
        <v>20</v>
      </c>
      <c r="M144" s="1" t="s">
        <v>79</v>
      </c>
      <c r="N144" s="1" t="s">
        <v>80</v>
      </c>
      <c r="O144" s="1" t="s">
        <v>81</v>
      </c>
      <c r="P144" s="1" t="s">
        <v>2796</v>
      </c>
      <c r="Q144" s="1" t="s">
        <v>2797</v>
      </c>
      <c r="R144" s="1" t="s">
        <v>48</v>
      </c>
      <c r="S144" s="1" t="s">
        <v>2798</v>
      </c>
      <c r="T144" s="1" t="s">
        <v>2799</v>
      </c>
      <c r="U144" s="1" t="s">
        <v>1301</v>
      </c>
      <c r="V144" s="1">
        <v>2021</v>
      </c>
      <c r="W144" s="1">
        <v>321</v>
      </c>
      <c r="X144" s="1" t="s">
        <v>48</v>
      </c>
      <c r="Y144" s="1" t="s">
        <v>48</v>
      </c>
      <c r="Z144" s="1" t="s">
        <v>48</v>
      </c>
      <c r="AA144" s="1" t="s">
        <v>48</v>
      </c>
      <c r="AB144" s="1" t="s">
        <v>48</v>
      </c>
      <c r="AC144" s="1" t="s">
        <v>48</v>
      </c>
      <c r="AD144" s="1" t="s">
        <v>48</v>
      </c>
      <c r="AE144" s="1">
        <v>114741</v>
      </c>
      <c r="AF144" s="1" t="s">
        <v>9196</v>
      </c>
      <c r="AG144" s="1" t="str">
        <f>HYPERLINK("http://dx.doi.org/10.1016/j.molliq.2020.114741","http://dx.doi.org/10.1016/j.molliq.2020.114741")</f>
        <v>http://dx.doi.org/10.1016/j.molliq.2020.114741</v>
      </c>
      <c r="AH144" s="1" t="s">
        <v>48</v>
      </c>
      <c r="AI144" s="1" t="s">
        <v>48</v>
      </c>
      <c r="AJ144" s="1">
        <v>10</v>
      </c>
      <c r="AK144" s="1" t="s">
        <v>2595</v>
      </c>
      <c r="AL144" s="1" t="s">
        <v>67</v>
      </c>
      <c r="AM144" s="1" t="s">
        <v>2596</v>
      </c>
      <c r="AN144" s="1" t="s">
        <v>48</v>
      </c>
      <c r="AO144" s="1" t="s">
        <v>48</v>
      </c>
      <c r="AP144" s="1" t="s">
        <v>48</v>
      </c>
      <c r="AQ144" s="1" t="s">
        <v>48</v>
      </c>
      <c r="AR144" s="1" t="s">
        <v>10610</v>
      </c>
    </row>
    <row r="145" spans="1:44" x14ac:dyDescent="0.45">
      <c r="A145" s="1" t="s">
        <v>9212</v>
      </c>
      <c r="B145" s="1" t="s">
        <v>9213</v>
      </c>
      <c r="C145" s="1" t="s">
        <v>263</v>
      </c>
      <c r="D145" s="1" t="s">
        <v>52</v>
      </c>
      <c r="E145" s="1" t="s">
        <v>1114</v>
      </c>
      <c r="F145" s="1" t="s">
        <v>9214</v>
      </c>
      <c r="G145" s="1" t="s">
        <v>115</v>
      </c>
      <c r="H145" s="1" t="s">
        <v>9215</v>
      </c>
      <c r="I145" s="1">
        <v>91</v>
      </c>
      <c r="J145" s="1">
        <v>89</v>
      </c>
      <c r="K145" s="1">
        <v>2</v>
      </c>
      <c r="L145" s="1">
        <v>44</v>
      </c>
      <c r="M145" s="1" t="s">
        <v>266</v>
      </c>
      <c r="N145" s="1" t="s">
        <v>267</v>
      </c>
      <c r="O145" s="1" t="s">
        <v>268</v>
      </c>
      <c r="P145" s="1" t="s">
        <v>269</v>
      </c>
      <c r="Q145" s="1" t="s">
        <v>270</v>
      </c>
      <c r="R145" s="1" t="s">
        <v>48</v>
      </c>
      <c r="S145" s="1" t="s">
        <v>271</v>
      </c>
      <c r="T145" s="1" t="s">
        <v>272</v>
      </c>
      <c r="U145" s="1" t="s">
        <v>796</v>
      </c>
      <c r="V145" s="1">
        <v>2021</v>
      </c>
      <c r="W145" s="1">
        <v>208</v>
      </c>
      <c r="X145" s="1" t="s">
        <v>48</v>
      </c>
      <c r="Y145" s="1" t="s">
        <v>48</v>
      </c>
      <c r="Z145" s="1" t="s">
        <v>48</v>
      </c>
      <c r="AA145" s="1" t="s">
        <v>48</v>
      </c>
      <c r="AB145" s="1" t="s">
        <v>48</v>
      </c>
      <c r="AC145" s="1" t="s">
        <v>48</v>
      </c>
      <c r="AD145" s="1" t="s">
        <v>48</v>
      </c>
      <c r="AE145" s="1">
        <v>111752</v>
      </c>
      <c r="AF145" s="1" t="s">
        <v>9216</v>
      </c>
      <c r="AG145" s="1" t="str">
        <f>HYPERLINK("http://dx.doi.org/10.1016/j.ecoenv.2020.111752","http://dx.doi.org/10.1016/j.ecoenv.2020.111752")</f>
        <v>http://dx.doi.org/10.1016/j.ecoenv.2020.111752</v>
      </c>
      <c r="AH145" s="1" t="s">
        <v>48</v>
      </c>
      <c r="AI145" s="1" t="s">
        <v>48</v>
      </c>
      <c r="AJ145" s="1">
        <v>9</v>
      </c>
      <c r="AK145" s="1" t="s">
        <v>275</v>
      </c>
      <c r="AL145" s="1" t="s">
        <v>67</v>
      </c>
      <c r="AM145" s="1" t="s">
        <v>276</v>
      </c>
      <c r="AN145" s="1">
        <v>33396077</v>
      </c>
      <c r="AO145" s="1" t="s">
        <v>125</v>
      </c>
      <c r="AP145" s="1" t="s">
        <v>48</v>
      </c>
      <c r="AQ145" s="1" t="s">
        <v>48</v>
      </c>
      <c r="AR145" s="1" t="s">
        <v>10610</v>
      </c>
    </row>
    <row r="146" spans="1:44" x14ac:dyDescent="0.45">
      <c r="A146" s="1" t="s">
        <v>9203</v>
      </c>
      <c r="B146" s="1" t="s">
        <v>9204</v>
      </c>
      <c r="C146" s="1" t="s">
        <v>9205</v>
      </c>
      <c r="D146" s="1" t="s">
        <v>52</v>
      </c>
      <c r="E146" s="1" t="s">
        <v>53</v>
      </c>
      <c r="F146" s="1" t="s">
        <v>9206</v>
      </c>
      <c r="G146" s="1" t="s">
        <v>3900</v>
      </c>
      <c r="H146" s="1" t="s">
        <v>3901</v>
      </c>
      <c r="I146" s="1">
        <v>79</v>
      </c>
      <c r="J146" s="1">
        <v>32</v>
      </c>
      <c r="K146" s="1">
        <v>0</v>
      </c>
      <c r="L146" s="1">
        <v>5</v>
      </c>
      <c r="M146" s="1" t="s">
        <v>503</v>
      </c>
      <c r="N146" s="1" t="s">
        <v>504</v>
      </c>
      <c r="O146" s="1" t="s">
        <v>505</v>
      </c>
      <c r="P146" s="1" t="s">
        <v>9207</v>
      </c>
      <c r="Q146" s="1" t="s">
        <v>9208</v>
      </c>
      <c r="R146" s="1" t="s">
        <v>48</v>
      </c>
      <c r="S146" s="1" t="s">
        <v>9205</v>
      </c>
      <c r="T146" s="1" t="s">
        <v>9209</v>
      </c>
      <c r="U146" s="1" t="s">
        <v>436</v>
      </c>
      <c r="V146" s="1">
        <v>2021</v>
      </c>
      <c r="W146" s="1">
        <v>11</v>
      </c>
      <c r="X146" s="1">
        <v>3</v>
      </c>
      <c r="Y146" s="1" t="s">
        <v>48</v>
      </c>
      <c r="Z146" s="1" t="s">
        <v>48</v>
      </c>
      <c r="AA146" s="1" t="s">
        <v>48</v>
      </c>
      <c r="AB146" s="1" t="s">
        <v>48</v>
      </c>
      <c r="AC146" s="1">
        <v>848</v>
      </c>
      <c r="AD146" s="1">
        <v>870</v>
      </c>
      <c r="AE146" s="1" t="s">
        <v>48</v>
      </c>
      <c r="AF146" s="1" t="s">
        <v>9210</v>
      </c>
      <c r="AG146" s="1" t="str">
        <f>HYPERLINK("http://dx.doi.org/10.1007/s12668-021-00853-2","http://dx.doi.org/10.1007/s12668-021-00853-2")</f>
        <v>http://dx.doi.org/10.1007/s12668-021-00853-2</v>
      </c>
      <c r="AH146" s="1" t="s">
        <v>48</v>
      </c>
      <c r="AI146" s="1" t="s">
        <v>10613</v>
      </c>
      <c r="AJ146" s="1">
        <v>23</v>
      </c>
      <c r="AK146" s="1" t="s">
        <v>9211</v>
      </c>
      <c r="AL146" s="1" t="s">
        <v>124</v>
      </c>
      <c r="AM146" s="1" t="s">
        <v>1877</v>
      </c>
      <c r="AN146" s="1" t="s">
        <v>48</v>
      </c>
      <c r="AO146" s="1" t="s">
        <v>48</v>
      </c>
      <c r="AP146" s="1" t="s">
        <v>48</v>
      </c>
      <c r="AQ146" s="1" t="s">
        <v>48</v>
      </c>
      <c r="AR146" s="1" t="s">
        <v>10610</v>
      </c>
    </row>
    <row r="147" spans="1:44" x14ac:dyDescent="0.45">
      <c r="A147" s="1" t="s">
        <v>9197</v>
      </c>
      <c r="B147" s="1" t="s">
        <v>9198</v>
      </c>
      <c r="C147" s="1" t="s">
        <v>9199</v>
      </c>
      <c r="D147" s="1" t="s">
        <v>52</v>
      </c>
      <c r="E147" s="1" t="s">
        <v>585</v>
      </c>
      <c r="F147" s="1" t="s">
        <v>9200</v>
      </c>
      <c r="G147" s="1" t="s">
        <v>4402</v>
      </c>
      <c r="H147" s="1" t="s">
        <v>9201</v>
      </c>
      <c r="I147" s="1">
        <v>9</v>
      </c>
      <c r="J147" s="1">
        <v>0</v>
      </c>
      <c r="K147" s="1">
        <v>1</v>
      </c>
      <c r="L147" s="1">
        <v>1</v>
      </c>
      <c r="M147" s="1" t="s">
        <v>1805</v>
      </c>
      <c r="N147" s="1" t="s">
        <v>146</v>
      </c>
      <c r="O147" s="1" t="s">
        <v>1806</v>
      </c>
      <c r="P147" s="1" t="s">
        <v>8877</v>
      </c>
      <c r="Q147" s="1" t="s">
        <v>8878</v>
      </c>
      <c r="R147" s="1" t="s">
        <v>9202</v>
      </c>
      <c r="S147" s="1" t="s">
        <v>8880</v>
      </c>
      <c r="T147" s="1" t="s">
        <v>48</v>
      </c>
      <c r="U147" s="1" t="s">
        <v>48</v>
      </c>
      <c r="V147" s="1">
        <v>2021</v>
      </c>
      <c r="W147" s="1" t="s">
        <v>48</v>
      </c>
      <c r="X147" s="1" t="s">
        <v>48</v>
      </c>
      <c r="Y147" s="1" t="s">
        <v>48</v>
      </c>
      <c r="Z147" s="1" t="s">
        <v>48</v>
      </c>
      <c r="AA147" s="1" t="s">
        <v>48</v>
      </c>
      <c r="AB147" s="1" t="s">
        <v>48</v>
      </c>
      <c r="AC147" s="1">
        <v>66</v>
      </c>
      <c r="AD147" s="1">
        <v>76</v>
      </c>
      <c r="AE147" s="1" t="s">
        <v>48</v>
      </c>
      <c r="AF147" s="1" t="s">
        <v>48</v>
      </c>
      <c r="AG147" s="1" t="s">
        <v>48</v>
      </c>
      <c r="AH147" s="1" t="s">
        <v>48</v>
      </c>
      <c r="AI147" s="1" t="s">
        <v>48</v>
      </c>
      <c r="AJ147" s="1">
        <v>11</v>
      </c>
      <c r="AK147" s="1" t="s">
        <v>1228</v>
      </c>
      <c r="AL147" s="1" t="s">
        <v>592</v>
      </c>
      <c r="AM147" s="1" t="s">
        <v>510</v>
      </c>
      <c r="AN147" s="1" t="s">
        <v>48</v>
      </c>
      <c r="AO147" s="1" t="s">
        <v>48</v>
      </c>
      <c r="AP147" s="1" t="s">
        <v>48</v>
      </c>
      <c r="AQ147" s="1" t="s">
        <v>48</v>
      </c>
      <c r="AR147" s="1" t="s">
        <v>10610</v>
      </c>
    </row>
    <row r="148" spans="1:44" x14ac:dyDescent="0.45">
      <c r="A148" s="1" t="s">
        <v>9228</v>
      </c>
      <c r="B148" s="1" t="s">
        <v>9229</v>
      </c>
      <c r="C148" s="1" t="s">
        <v>9230</v>
      </c>
      <c r="D148" s="1" t="s">
        <v>52</v>
      </c>
      <c r="E148" s="1" t="s">
        <v>53</v>
      </c>
      <c r="F148" s="1" t="s">
        <v>9231</v>
      </c>
      <c r="G148" s="1" t="s">
        <v>4648</v>
      </c>
      <c r="H148" s="1" t="s">
        <v>9232</v>
      </c>
      <c r="I148" s="1">
        <v>139</v>
      </c>
      <c r="J148" s="1">
        <v>7</v>
      </c>
      <c r="K148" s="1">
        <v>3</v>
      </c>
      <c r="L148" s="1">
        <v>21</v>
      </c>
      <c r="M148" s="1" t="s">
        <v>98</v>
      </c>
      <c r="N148" s="1" t="s">
        <v>99</v>
      </c>
      <c r="O148" s="1" t="s">
        <v>100</v>
      </c>
      <c r="P148" s="1" t="s">
        <v>9233</v>
      </c>
      <c r="Q148" s="1" t="s">
        <v>9234</v>
      </c>
      <c r="R148" s="1" t="s">
        <v>48</v>
      </c>
      <c r="S148" s="1" t="s">
        <v>9235</v>
      </c>
      <c r="T148" s="1" t="s">
        <v>9236</v>
      </c>
      <c r="U148" s="1" t="s">
        <v>962</v>
      </c>
      <c r="V148" s="1">
        <v>2024</v>
      </c>
      <c r="W148" s="1">
        <v>25</v>
      </c>
      <c r="X148" s="1">
        <v>4</v>
      </c>
      <c r="Y148" s="1" t="s">
        <v>48</v>
      </c>
      <c r="Z148" s="1" t="s">
        <v>48</v>
      </c>
      <c r="AA148" s="1" t="s">
        <v>48</v>
      </c>
      <c r="AB148" s="1" t="s">
        <v>48</v>
      </c>
      <c r="AC148" s="1">
        <v>913</v>
      </c>
      <c r="AD148" s="1">
        <v>939</v>
      </c>
      <c r="AE148" s="1" t="s">
        <v>48</v>
      </c>
      <c r="AF148" s="1" t="s">
        <v>9237</v>
      </c>
      <c r="AG148" s="1" t="str">
        <f>HYPERLINK("http://dx.doi.org/10.1177/15210251211037996","http://dx.doi.org/10.1177/15210251211037996")</f>
        <v>http://dx.doi.org/10.1177/15210251211037996</v>
      </c>
      <c r="AH148" s="1" t="s">
        <v>48</v>
      </c>
      <c r="AI148" s="1" t="s">
        <v>10620</v>
      </c>
      <c r="AJ148" s="1">
        <v>27</v>
      </c>
      <c r="AK148" s="1" t="s">
        <v>998</v>
      </c>
      <c r="AL148" s="1" t="s">
        <v>124</v>
      </c>
      <c r="AM148" s="1" t="s">
        <v>998</v>
      </c>
      <c r="AN148" s="1" t="s">
        <v>48</v>
      </c>
      <c r="AO148" s="1" t="s">
        <v>48</v>
      </c>
      <c r="AP148" s="1" t="s">
        <v>48</v>
      </c>
      <c r="AQ148" s="1" t="s">
        <v>48</v>
      </c>
      <c r="AR148" s="1" t="s">
        <v>10610</v>
      </c>
    </row>
    <row r="149" spans="1:44" x14ac:dyDescent="0.45">
      <c r="A149" s="1" t="s">
        <v>9238</v>
      </c>
      <c r="B149" s="1" t="s">
        <v>9239</v>
      </c>
      <c r="C149" s="1" t="s">
        <v>9240</v>
      </c>
      <c r="D149" s="1" t="s">
        <v>52</v>
      </c>
      <c r="E149" s="1" t="s">
        <v>53</v>
      </c>
      <c r="F149" s="1" t="s">
        <v>9241</v>
      </c>
      <c r="G149" s="1" t="s">
        <v>58</v>
      </c>
      <c r="H149" s="1" t="s">
        <v>9242</v>
      </c>
      <c r="I149" s="1">
        <v>31</v>
      </c>
      <c r="J149" s="1">
        <v>0</v>
      </c>
      <c r="K149" s="1">
        <v>1</v>
      </c>
      <c r="L149" s="1">
        <v>7</v>
      </c>
      <c r="M149" s="1" t="s">
        <v>1183</v>
      </c>
      <c r="N149" s="1" t="s">
        <v>1184</v>
      </c>
      <c r="O149" s="1" t="s">
        <v>1185</v>
      </c>
      <c r="P149" s="1" t="s">
        <v>9243</v>
      </c>
      <c r="Q149" s="1" t="s">
        <v>48</v>
      </c>
      <c r="R149" s="1" t="s">
        <v>48</v>
      </c>
      <c r="S149" s="1" t="s">
        <v>9244</v>
      </c>
      <c r="T149" s="1" t="s">
        <v>9245</v>
      </c>
      <c r="U149" s="1" t="s">
        <v>10632</v>
      </c>
      <c r="V149" s="1">
        <v>2021</v>
      </c>
      <c r="W149" s="1">
        <v>60</v>
      </c>
      <c r="X149" s="1">
        <v>22</v>
      </c>
      <c r="Y149" s="1" t="s">
        <v>48</v>
      </c>
      <c r="Z149" s="1" t="s">
        <v>48</v>
      </c>
      <c r="AA149" s="1" t="s">
        <v>48</v>
      </c>
      <c r="AB149" s="1" t="s">
        <v>48</v>
      </c>
      <c r="AC149" s="1">
        <v>8035</v>
      </c>
      <c r="AD149" s="1">
        <v>8042</v>
      </c>
      <c r="AE149" s="1" t="s">
        <v>48</v>
      </c>
      <c r="AF149" s="1" t="s">
        <v>9246</v>
      </c>
      <c r="AG149" s="1" t="str">
        <f>HYPERLINK("http://dx.doi.org/10.1021/acs.iecr.1c00972","http://dx.doi.org/10.1021/acs.iecr.1c00972")</f>
        <v>http://dx.doi.org/10.1021/acs.iecr.1c00972</v>
      </c>
      <c r="AH149" s="1" t="s">
        <v>48</v>
      </c>
      <c r="AI149" s="1" t="s">
        <v>10613</v>
      </c>
      <c r="AJ149" s="1">
        <v>8</v>
      </c>
      <c r="AK149" s="1" t="s">
        <v>9247</v>
      </c>
      <c r="AL149" s="1" t="s">
        <v>67</v>
      </c>
      <c r="AM149" s="1" t="s">
        <v>1733</v>
      </c>
      <c r="AN149" s="1" t="s">
        <v>48</v>
      </c>
      <c r="AO149" s="1" t="s">
        <v>48</v>
      </c>
      <c r="AP149" s="1" t="s">
        <v>48</v>
      </c>
      <c r="AQ149" s="1" t="s">
        <v>48</v>
      </c>
      <c r="AR149" s="1" t="s">
        <v>10610</v>
      </c>
    </row>
    <row r="150" spans="1:44" x14ac:dyDescent="0.45">
      <c r="A150" s="1" t="s">
        <v>9217</v>
      </c>
      <c r="B150" s="1" t="s">
        <v>9218</v>
      </c>
      <c r="C150" s="1" t="s">
        <v>9219</v>
      </c>
      <c r="D150" s="1" t="s">
        <v>52</v>
      </c>
      <c r="E150" s="1" t="s">
        <v>53</v>
      </c>
      <c r="F150" s="1" t="s">
        <v>9220</v>
      </c>
      <c r="G150" s="1" t="s">
        <v>58</v>
      </c>
      <c r="H150" s="1" t="s">
        <v>3622</v>
      </c>
      <c r="I150" s="1">
        <v>41</v>
      </c>
      <c r="J150" s="1">
        <v>0</v>
      </c>
      <c r="K150" s="1">
        <v>0</v>
      </c>
      <c r="L150" s="1">
        <v>1</v>
      </c>
      <c r="M150" s="1" t="s">
        <v>9221</v>
      </c>
      <c r="N150" s="1" t="s">
        <v>9222</v>
      </c>
      <c r="O150" s="1" t="s">
        <v>9223</v>
      </c>
      <c r="P150" s="1" t="s">
        <v>9224</v>
      </c>
      <c r="Q150" s="1" t="s">
        <v>9225</v>
      </c>
      <c r="R150" s="1" t="s">
        <v>48</v>
      </c>
      <c r="S150" s="1" t="s">
        <v>9226</v>
      </c>
      <c r="T150" s="1" t="s">
        <v>9227</v>
      </c>
      <c r="U150" s="1" t="s">
        <v>48</v>
      </c>
      <c r="V150" s="1">
        <v>2021</v>
      </c>
      <c r="W150" s="1">
        <v>36</v>
      </c>
      <c r="X150" s="1">
        <v>3</v>
      </c>
      <c r="Y150" s="1" t="s">
        <v>48</v>
      </c>
      <c r="Z150" s="1" t="s">
        <v>48</v>
      </c>
      <c r="AA150" s="1" t="s">
        <v>48</v>
      </c>
      <c r="AB150" s="1" t="s">
        <v>48</v>
      </c>
      <c r="AC150" s="1">
        <v>12</v>
      </c>
      <c r="AD150" s="1">
        <v>24</v>
      </c>
      <c r="AE150" s="1" t="s">
        <v>48</v>
      </c>
      <c r="AF150" s="1" t="s">
        <v>48</v>
      </c>
      <c r="AG150" s="1" t="s">
        <v>48</v>
      </c>
      <c r="AH150" s="1" t="s">
        <v>48</v>
      </c>
      <c r="AI150" s="1" t="s">
        <v>48</v>
      </c>
      <c r="AJ150" s="1">
        <v>13</v>
      </c>
      <c r="AK150" s="1" t="s">
        <v>5096</v>
      </c>
      <c r="AL150" s="1" t="s">
        <v>124</v>
      </c>
      <c r="AM150" s="1" t="s">
        <v>439</v>
      </c>
      <c r="AN150" s="1" t="s">
        <v>48</v>
      </c>
      <c r="AO150" s="1" t="s">
        <v>48</v>
      </c>
      <c r="AP150" s="1" t="s">
        <v>48</v>
      </c>
      <c r="AQ150" s="1" t="s">
        <v>48</v>
      </c>
      <c r="AR150" s="1" t="s">
        <v>10610</v>
      </c>
    </row>
    <row r="151" spans="1:44" x14ac:dyDescent="0.45">
      <c r="A151" s="1" t="s">
        <v>9248</v>
      </c>
      <c r="B151" s="1" t="s">
        <v>9249</v>
      </c>
      <c r="C151" s="1" t="s">
        <v>9250</v>
      </c>
      <c r="D151" s="1" t="s">
        <v>52</v>
      </c>
      <c r="E151" s="1" t="s">
        <v>53</v>
      </c>
      <c r="F151" s="1" t="s">
        <v>9251</v>
      </c>
      <c r="G151" s="1" t="s">
        <v>3900</v>
      </c>
      <c r="H151" s="1" t="s">
        <v>3901</v>
      </c>
      <c r="I151" s="1">
        <v>69</v>
      </c>
      <c r="J151" s="1">
        <v>36</v>
      </c>
      <c r="K151" s="1">
        <v>0</v>
      </c>
      <c r="L151" s="1">
        <v>6</v>
      </c>
      <c r="M151" s="1" t="s">
        <v>9252</v>
      </c>
      <c r="N151" s="1" t="s">
        <v>2401</v>
      </c>
      <c r="O151" s="1" t="s">
        <v>9253</v>
      </c>
      <c r="P151" s="1" t="s">
        <v>9254</v>
      </c>
      <c r="Q151" s="1" t="s">
        <v>9255</v>
      </c>
      <c r="R151" s="1" t="s">
        <v>48</v>
      </c>
      <c r="S151" s="1" t="s">
        <v>9256</v>
      </c>
      <c r="T151" s="1" t="s">
        <v>9257</v>
      </c>
      <c r="U151" s="1" t="s">
        <v>352</v>
      </c>
      <c r="V151" s="1">
        <v>2021</v>
      </c>
      <c r="W151" s="1">
        <v>33</v>
      </c>
      <c r="X151" s="1">
        <v>4</v>
      </c>
      <c r="Y151" s="1" t="s">
        <v>48</v>
      </c>
      <c r="Z151" s="1" t="s">
        <v>48</v>
      </c>
      <c r="AA151" s="1" t="s">
        <v>48</v>
      </c>
      <c r="AB151" s="1" t="s">
        <v>48</v>
      </c>
      <c r="AC151" s="1">
        <v>367</v>
      </c>
      <c r="AD151" s="1">
        <v>391</v>
      </c>
      <c r="AE151" s="1" t="s">
        <v>48</v>
      </c>
      <c r="AF151" s="1" t="s">
        <v>9258</v>
      </c>
      <c r="AG151" s="1" t="str">
        <f>HYPERLINK("http://dx.doi.org/10.1007/s13367-021-0029-6","http://dx.doi.org/10.1007/s13367-021-0029-6")</f>
        <v>http://dx.doi.org/10.1007/s13367-021-0029-6</v>
      </c>
      <c r="AH151" s="1" t="s">
        <v>48</v>
      </c>
      <c r="AI151" s="1" t="s">
        <v>48</v>
      </c>
      <c r="AJ151" s="1">
        <v>25</v>
      </c>
      <c r="AK151" s="1" t="s">
        <v>9259</v>
      </c>
      <c r="AL151" s="1" t="s">
        <v>67</v>
      </c>
      <c r="AM151" s="1" t="s">
        <v>9259</v>
      </c>
      <c r="AN151" s="1" t="s">
        <v>48</v>
      </c>
      <c r="AO151" s="1" t="s">
        <v>48</v>
      </c>
      <c r="AP151" s="1" t="s">
        <v>48</v>
      </c>
      <c r="AQ151" s="1" t="s">
        <v>48</v>
      </c>
      <c r="AR151" s="1" t="s">
        <v>10610</v>
      </c>
    </row>
    <row r="152" spans="1:44" x14ac:dyDescent="0.45">
      <c r="A152" s="1" t="s">
        <v>9260</v>
      </c>
      <c r="B152" s="1" t="s">
        <v>9261</v>
      </c>
      <c r="C152" s="1" t="s">
        <v>538</v>
      </c>
      <c r="D152" s="1" t="s">
        <v>52</v>
      </c>
      <c r="E152" s="1" t="s">
        <v>53</v>
      </c>
      <c r="F152" s="1" t="s">
        <v>9262</v>
      </c>
      <c r="G152" s="1" t="s">
        <v>5227</v>
      </c>
      <c r="H152" s="1" t="s">
        <v>3564</v>
      </c>
      <c r="I152" s="1">
        <v>80</v>
      </c>
      <c r="J152" s="1">
        <v>59</v>
      </c>
      <c r="K152" s="1">
        <v>3</v>
      </c>
      <c r="L152" s="1">
        <v>22</v>
      </c>
      <c r="M152" s="1" t="s">
        <v>503</v>
      </c>
      <c r="N152" s="1" t="s">
        <v>542</v>
      </c>
      <c r="O152" s="1" t="s">
        <v>543</v>
      </c>
      <c r="P152" s="1" t="s">
        <v>544</v>
      </c>
      <c r="Q152" s="1" t="s">
        <v>545</v>
      </c>
      <c r="R152" s="1" t="s">
        <v>48</v>
      </c>
      <c r="S152" s="1" t="s">
        <v>546</v>
      </c>
      <c r="T152" s="1" t="s">
        <v>547</v>
      </c>
      <c r="U152" s="1" t="s">
        <v>243</v>
      </c>
      <c r="V152" s="1">
        <v>2021</v>
      </c>
      <c r="W152" s="1">
        <v>54</v>
      </c>
      <c r="X152" s="1">
        <v>5</v>
      </c>
      <c r="Y152" s="1" t="s">
        <v>48</v>
      </c>
      <c r="Z152" s="1" t="s">
        <v>48</v>
      </c>
      <c r="AA152" s="1" t="s">
        <v>48</v>
      </c>
      <c r="AB152" s="1" t="s">
        <v>48</v>
      </c>
      <c r="AC152" s="1">
        <v>3685</v>
      </c>
      <c r="AD152" s="1">
        <v>3723</v>
      </c>
      <c r="AE152" s="1" t="s">
        <v>48</v>
      </c>
      <c r="AF152" s="1" t="s">
        <v>9263</v>
      </c>
      <c r="AG152" s="1" t="str">
        <f>HYPERLINK("http://dx.doi.org/10.1007/s10462-020-09936-0","http://dx.doi.org/10.1007/s10462-020-09936-0")</f>
        <v>http://dx.doi.org/10.1007/s10462-020-09936-0</v>
      </c>
      <c r="AH152" s="1" t="s">
        <v>48</v>
      </c>
      <c r="AI152" s="1" t="s">
        <v>10619</v>
      </c>
      <c r="AJ152" s="1">
        <v>39</v>
      </c>
      <c r="AK152" s="1" t="s">
        <v>549</v>
      </c>
      <c r="AL152" s="1" t="s">
        <v>67</v>
      </c>
      <c r="AM152" s="1" t="s">
        <v>292</v>
      </c>
      <c r="AN152" s="1" t="s">
        <v>48</v>
      </c>
      <c r="AO152" s="1" t="s">
        <v>48</v>
      </c>
      <c r="AP152" s="1" t="s">
        <v>48</v>
      </c>
      <c r="AQ152" s="1" t="s">
        <v>48</v>
      </c>
      <c r="AR152" s="1" t="s">
        <v>10610</v>
      </c>
    </row>
    <row r="153" spans="1:44" x14ac:dyDescent="0.45">
      <c r="A153" s="1" t="s">
        <v>4252</v>
      </c>
      <c r="B153" s="1" t="s">
        <v>9270</v>
      </c>
      <c r="C153" s="1" t="s">
        <v>9271</v>
      </c>
      <c r="D153" s="1" t="s">
        <v>52</v>
      </c>
      <c r="E153" s="1" t="s">
        <v>53</v>
      </c>
      <c r="F153" s="1" t="s">
        <v>9272</v>
      </c>
      <c r="G153" s="1" t="s">
        <v>4256</v>
      </c>
      <c r="H153" s="1" t="s">
        <v>9273</v>
      </c>
      <c r="I153" s="1">
        <v>14</v>
      </c>
      <c r="J153" s="1">
        <v>0</v>
      </c>
      <c r="K153" s="1">
        <v>0</v>
      </c>
      <c r="L153" s="1">
        <v>8</v>
      </c>
      <c r="M153" s="1" t="s">
        <v>9274</v>
      </c>
      <c r="N153" s="1" t="s">
        <v>9275</v>
      </c>
      <c r="O153" s="1" t="s">
        <v>9276</v>
      </c>
      <c r="P153" s="1" t="s">
        <v>9277</v>
      </c>
      <c r="Q153" s="1" t="s">
        <v>9278</v>
      </c>
      <c r="R153" s="1" t="s">
        <v>48</v>
      </c>
      <c r="S153" s="1" t="s">
        <v>9279</v>
      </c>
      <c r="T153" s="1" t="s">
        <v>9280</v>
      </c>
      <c r="U153" s="1" t="s">
        <v>86</v>
      </c>
      <c r="V153" s="1">
        <v>2021</v>
      </c>
      <c r="W153" s="1">
        <v>72</v>
      </c>
      <c r="X153" s="1">
        <v>6</v>
      </c>
      <c r="Y153" s="1" t="s">
        <v>48</v>
      </c>
      <c r="Z153" s="1" t="s">
        <v>48</v>
      </c>
      <c r="AA153" s="1" t="s">
        <v>48</v>
      </c>
      <c r="AB153" s="1" t="s">
        <v>48</v>
      </c>
      <c r="AC153" s="1">
        <v>413</v>
      </c>
      <c r="AD153" s="1">
        <v>418</v>
      </c>
      <c r="AE153" s="1" t="s">
        <v>48</v>
      </c>
      <c r="AF153" s="1" t="s">
        <v>9281</v>
      </c>
      <c r="AG153" s="1" t="str">
        <f>HYPERLINK("http://dx.doi.org/10.2478/jee-2021-0059","http://dx.doi.org/10.2478/jee-2021-0059")</f>
        <v>http://dx.doi.org/10.2478/jee-2021-0059</v>
      </c>
      <c r="AH153" s="1" t="s">
        <v>48</v>
      </c>
      <c r="AI153" s="1" t="s">
        <v>48</v>
      </c>
      <c r="AJ153" s="1">
        <v>6</v>
      </c>
      <c r="AK153" s="1" t="s">
        <v>3913</v>
      </c>
      <c r="AL153" s="1" t="s">
        <v>67</v>
      </c>
      <c r="AM153" s="1" t="s">
        <v>1733</v>
      </c>
      <c r="AN153" s="1" t="s">
        <v>48</v>
      </c>
      <c r="AO153" s="1" t="s">
        <v>125</v>
      </c>
      <c r="AP153" s="1" t="s">
        <v>48</v>
      </c>
      <c r="AQ153" s="1" t="s">
        <v>48</v>
      </c>
      <c r="AR153" s="1" t="s">
        <v>10610</v>
      </c>
    </row>
    <row r="154" spans="1:44" x14ac:dyDescent="0.45">
      <c r="A154" s="1" t="s">
        <v>9197</v>
      </c>
      <c r="B154" s="1" t="s">
        <v>9282</v>
      </c>
      <c r="C154" s="1" t="s">
        <v>9199</v>
      </c>
      <c r="D154" s="1" t="s">
        <v>52</v>
      </c>
      <c r="E154" s="1" t="s">
        <v>1802</v>
      </c>
      <c r="F154" s="1" t="s">
        <v>9200</v>
      </c>
      <c r="G154" s="1" t="s">
        <v>4402</v>
      </c>
      <c r="H154" s="1" t="s">
        <v>9201</v>
      </c>
      <c r="I154" s="1">
        <v>0</v>
      </c>
      <c r="J154" s="1">
        <v>0</v>
      </c>
      <c r="K154" s="1">
        <v>0</v>
      </c>
      <c r="L154" s="1">
        <v>0</v>
      </c>
      <c r="M154" s="1" t="s">
        <v>1805</v>
      </c>
      <c r="N154" s="1" t="s">
        <v>146</v>
      </c>
      <c r="O154" s="1" t="s">
        <v>1806</v>
      </c>
      <c r="P154" s="1" t="s">
        <v>8877</v>
      </c>
      <c r="Q154" s="1" t="s">
        <v>8878</v>
      </c>
      <c r="R154" s="1" t="s">
        <v>9202</v>
      </c>
      <c r="S154" s="1" t="s">
        <v>8880</v>
      </c>
      <c r="T154" s="1" t="s">
        <v>48</v>
      </c>
      <c r="U154" s="1" t="s">
        <v>48</v>
      </c>
      <c r="V154" s="1">
        <v>2021</v>
      </c>
      <c r="W154" s="1" t="s">
        <v>48</v>
      </c>
      <c r="X154" s="1" t="s">
        <v>48</v>
      </c>
      <c r="Y154" s="1" t="s">
        <v>48</v>
      </c>
      <c r="Z154" s="1" t="s">
        <v>48</v>
      </c>
      <c r="AA154" s="1" t="s">
        <v>48</v>
      </c>
      <c r="AB154" s="1" t="s">
        <v>48</v>
      </c>
      <c r="AC154" s="1" t="s">
        <v>9283</v>
      </c>
      <c r="AD154" s="1" t="s">
        <v>9284</v>
      </c>
      <c r="AE154" s="1" t="s">
        <v>48</v>
      </c>
      <c r="AF154" s="1" t="s">
        <v>48</v>
      </c>
      <c r="AG154" s="1" t="s">
        <v>48</v>
      </c>
      <c r="AH154" s="1" t="s">
        <v>48</v>
      </c>
      <c r="AI154" s="1" t="s">
        <v>48</v>
      </c>
      <c r="AJ154" s="1">
        <v>2</v>
      </c>
      <c r="AK154" s="1" t="s">
        <v>1228</v>
      </c>
      <c r="AL154" s="1" t="s">
        <v>592</v>
      </c>
      <c r="AM154" s="1" t="s">
        <v>510</v>
      </c>
      <c r="AN154" s="1" t="s">
        <v>48</v>
      </c>
      <c r="AO154" s="1" t="s">
        <v>48</v>
      </c>
      <c r="AP154" s="1" t="s">
        <v>48</v>
      </c>
      <c r="AQ154" s="1" t="s">
        <v>48</v>
      </c>
      <c r="AR154" s="1" t="s">
        <v>10610</v>
      </c>
    </row>
    <row r="155" spans="1:44" x14ac:dyDescent="0.45">
      <c r="A155" s="1" t="s">
        <v>9197</v>
      </c>
      <c r="B155" s="1" t="s">
        <v>9285</v>
      </c>
      <c r="C155" s="1" t="s">
        <v>9199</v>
      </c>
      <c r="D155" s="1" t="s">
        <v>52</v>
      </c>
      <c r="E155" s="1" t="s">
        <v>585</v>
      </c>
      <c r="F155" s="1" t="s">
        <v>9200</v>
      </c>
      <c r="G155" s="1" t="s">
        <v>4402</v>
      </c>
      <c r="H155" s="1" t="s">
        <v>9201</v>
      </c>
      <c r="I155" s="1">
        <v>6</v>
      </c>
      <c r="J155" s="1">
        <v>0</v>
      </c>
      <c r="K155" s="1">
        <v>1</v>
      </c>
      <c r="L155" s="1">
        <v>1</v>
      </c>
      <c r="M155" s="1" t="s">
        <v>1805</v>
      </c>
      <c r="N155" s="1" t="s">
        <v>146</v>
      </c>
      <c r="O155" s="1" t="s">
        <v>1806</v>
      </c>
      <c r="P155" s="1" t="s">
        <v>8877</v>
      </c>
      <c r="Q155" s="1" t="s">
        <v>8878</v>
      </c>
      <c r="R155" s="1" t="s">
        <v>9202</v>
      </c>
      <c r="S155" s="1" t="s">
        <v>8880</v>
      </c>
      <c r="T155" s="1" t="s">
        <v>48</v>
      </c>
      <c r="U155" s="1" t="s">
        <v>48</v>
      </c>
      <c r="V155" s="1">
        <v>2021</v>
      </c>
      <c r="W155" s="1" t="s">
        <v>48</v>
      </c>
      <c r="X155" s="1" t="s">
        <v>48</v>
      </c>
      <c r="Y155" s="1" t="s">
        <v>48</v>
      </c>
      <c r="Z155" s="1" t="s">
        <v>48</v>
      </c>
      <c r="AA155" s="1" t="s">
        <v>48</v>
      </c>
      <c r="AB155" s="1" t="s">
        <v>48</v>
      </c>
      <c r="AC155" s="1">
        <v>22</v>
      </c>
      <c r="AD155" s="1">
        <v>35</v>
      </c>
      <c r="AE155" s="1" t="s">
        <v>48</v>
      </c>
      <c r="AF155" s="1" t="s">
        <v>48</v>
      </c>
      <c r="AG155" s="1" t="s">
        <v>48</v>
      </c>
      <c r="AH155" s="1" t="s">
        <v>48</v>
      </c>
      <c r="AI155" s="1" t="s">
        <v>48</v>
      </c>
      <c r="AJ155" s="1">
        <v>14</v>
      </c>
      <c r="AK155" s="1" t="s">
        <v>1228</v>
      </c>
      <c r="AL155" s="1" t="s">
        <v>592</v>
      </c>
      <c r="AM155" s="1" t="s">
        <v>510</v>
      </c>
      <c r="AN155" s="1" t="s">
        <v>48</v>
      </c>
      <c r="AO155" s="1" t="s">
        <v>48</v>
      </c>
      <c r="AP155" s="1" t="s">
        <v>48</v>
      </c>
      <c r="AQ155" s="1" t="s">
        <v>48</v>
      </c>
      <c r="AR155" s="1" t="s">
        <v>10610</v>
      </c>
    </row>
    <row r="156" spans="1:44" x14ac:dyDescent="0.45">
      <c r="A156" s="1" t="s">
        <v>9312</v>
      </c>
      <c r="B156" s="1" t="s">
        <v>9313</v>
      </c>
      <c r="C156" s="1" t="s">
        <v>1384</v>
      </c>
      <c r="D156" s="1" t="s">
        <v>52</v>
      </c>
      <c r="E156" s="1" t="s">
        <v>53</v>
      </c>
      <c r="F156" s="1" t="s">
        <v>9314</v>
      </c>
      <c r="G156" s="1" t="s">
        <v>3752</v>
      </c>
      <c r="H156" s="1" t="s">
        <v>3608</v>
      </c>
      <c r="I156" s="1">
        <v>36</v>
      </c>
      <c r="J156" s="1">
        <v>6</v>
      </c>
      <c r="K156" s="1">
        <v>2</v>
      </c>
      <c r="L156" s="1">
        <v>16</v>
      </c>
      <c r="M156" s="1" t="s">
        <v>503</v>
      </c>
      <c r="N156" s="1" t="s">
        <v>504</v>
      </c>
      <c r="O156" s="1" t="s">
        <v>505</v>
      </c>
      <c r="P156" s="1" t="s">
        <v>1387</v>
      </c>
      <c r="Q156" s="1" t="s">
        <v>1388</v>
      </c>
      <c r="R156" s="1" t="s">
        <v>48</v>
      </c>
      <c r="S156" s="1" t="s">
        <v>1389</v>
      </c>
      <c r="T156" s="1" t="s">
        <v>1390</v>
      </c>
      <c r="U156" s="1" t="s">
        <v>352</v>
      </c>
      <c r="V156" s="1">
        <v>2021</v>
      </c>
      <c r="W156" s="1">
        <v>121</v>
      </c>
      <c r="X156" s="1">
        <v>1</v>
      </c>
      <c r="Y156" s="1" t="s">
        <v>48</v>
      </c>
      <c r="Z156" s="1" t="s">
        <v>48</v>
      </c>
      <c r="AA156" s="1" t="s">
        <v>48</v>
      </c>
      <c r="AB156" s="1" t="s">
        <v>48</v>
      </c>
      <c r="AC156" s="1">
        <v>939</v>
      </c>
      <c r="AD156" s="1">
        <v>961</v>
      </c>
      <c r="AE156" s="1" t="s">
        <v>48</v>
      </c>
      <c r="AF156" s="1" t="s">
        <v>9315</v>
      </c>
      <c r="AG156" s="1" t="str">
        <f>HYPERLINK("http://dx.doi.org/10.1007/s11277-021-08666-y","http://dx.doi.org/10.1007/s11277-021-08666-y")</f>
        <v>http://dx.doi.org/10.1007/s11277-021-08666-y</v>
      </c>
      <c r="AH156" s="1" t="s">
        <v>48</v>
      </c>
      <c r="AI156" s="1" t="s">
        <v>10611</v>
      </c>
      <c r="AJ156" s="1">
        <v>23</v>
      </c>
      <c r="AK156" s="1" t="s">
        <v>1392</v>
      </c>
      <c r="AL156" s="1" t="s">
        <v>67</v>
      </c>
      <c r="AM156" s="1" t="s">
        <v>1392</v>
      </c>
      <c r="AN156" s="1" t="s">
        <v>48</v>
      </c>
      <c r="AO156" s="1" t="s">
        <v>48</v>
      </c>
      <c r="AP156" s="1" t="s">
        <v>48</v>
      </c>
      <c r="AQ156" s="1" t="s">
        <v>48</v>
      </c>
      <c r="AR156" s="1" t="s">
        <v>10610</v>
      </c>
    </row>
    <row r="157" spans="1:44" x14ac:dyDescent="0.45">
      <c r="A157" s="1" t="s">
        <v>9316</v>
      </c>
      <c r="B157" s="1" t="s">
        <v>9317</v>
      </c>
      <c r="C157" s="1" t="s">
        <v>5604</v>
      </c>
      <c r="D157" s="1" t="s">
        <v>52</v>
      </c>
      <c r="E157" s="1" t="s">
        <v>53</v>
      </c>
      <c r="F157" s="1" t="s">
        <v>9318</v>
      </c>
      <c r="G157" s="1" t="s">
        <v>3791</v>
      </c>
      <c r="H157" s="1" t="s">
        <v>9319</v>
      </c>
      <c r="I157" s="1">
        <v>63</v>
      </c>
      <c r="J157" s="1">
        <v>4</v>
      </c>
      <c r="K157" s="1">
        <v>0</v>
      </c>
      <c r="L157" s="1">
        <v>7</v>
      </c>
      <c r="M157" s="1" t="s">
        <v>5608</v>
      </c>
      <c r="N157" s="1" t="s">
        <v>5609</v>
      </c>
      <c r="O157" s="1" t="s">
        <v>5610</v>
      </c>
      <c r="P157" s="1" t="s">
        <v>5611</v>
      </c>
      <c r="Q157" s="1" t="s">
        <v>5612</v>
      </c>
      <c r="R157" s="1" t="s">
        <v>48</v>
      </c>
      <c r="S157" s="1" t="s">
        <v>5613</v>
      </c>
      <c r="T157" s="1" t="s">
        <v>5614</v>
      </c>
      <c r="U157" s="1" t="s">
        <v>243</v>
      </c>
      <c r="V157" s="1">
        <v>2021</v>
      </c>
      <c r="W157" s="1">
        <v>56</v>
      </c>
      <c r="X157" s="1">
        <v>2</v>
      </c>
      <c r="Y157" s="1" t="s">
        <v>48</v>
      </c>
      <c r="Z157" s="1" t="s">
        <v>48</v>
      </c>
      <c r="AA157" s="1" t="s">
        <v>48</v>
      </c>
      <c r="AB157" s="1" t="s">
        <v>48</v>
      </c>
      <c r="AC157" s="1">
        <v>207</v>
      </c>
      <c r="AD157" s="1">
        <v>223</v>
      </c>
      <c r="AE157" s="1" t="s">
        <v>48</v>
      </c>
      <c r="AF157" s="1" t="s">
        <v>9320</v>
      </c>
      <c r="AG157" s="1" t="str">
        <f>HYPERLINK("http://dx.doi.org/10.1007/s12601-021-00012-4","http://dx.doi.org/10.1007/s12601-021-00012-4")</f>
        <v>http://dx.doi.org/10.1007/s12601-021-00012-4</v>
      </c>
      <c r="AH157" s="1" t="s">
        <v>48</v>
      </c>
      <c r="AI157" s="1" t="s">
        <v>10613</v>
      </c>
      <c r="AJ157" s="1">
        <v>17</v>
      </c>
      <c r="AK157" s="1" t="s">
        <v>5616</v>
      </c>
      <c r="AL157" s="1" t="s">
        <v>67</v>
      </c>
      <c r="AM157" s="1" t="s">
        <v>5616</v>
      </c>
      <c r="AN157" s="1" t="s">
        <v>48</v>
      </c>
      <c r="AO157" s="1" t="s">
        <v>48</v>
      </c>
      <c r="AP157" s="1" t="s">
        <v>48</v>
      </c>
      <c r="AQ157" s="1" t="s">
        <v>48</v>
      </c>
      <c r="AR157" s="1" t="s">
        <v>10610</v>
      </c>
    </row>
    <row r="158" spans="1:44" x14ac:dyDescent="0.45">
      <c r="A158" s="1" t="s">
        <v>9286</v>
      </c>
      <c r="B158" s="1" t="s">
        <v>9287</v>
      </c>
      <c r="C158" s="1" t="s">
        <v>4288</v>
      </c>
      <c r="D158" s="1" t="s">
        <v>52</v>
      </c>
      <c r="E158" s="1" t="s">
        <v>53</v>
      </c>
      <c r="F158" s="1" t="s">
        <v>9288</v>
      </c>
      <c r="G158" s="1" t="s">
        <v>3810</v>
      </c>
      <c r="H158" s="1" t="s">
        <v>4023</v>
      </c>
      <c r="I158" s="1">
        <v>28</v>
      </c>
      <c r="J158" s="1">
        <v>5</v>
      </c>
      <c r="K158" s="1">
        <v>0</v>
      </c>
      <c r="L158" s="1">
        <v>11</v>
      </c>
      <c r="M158" s="1" t="s">
        <v>132</v>
      </c>
      <c r="N158" s="1" t="s">
        <v>133</v>
      </c>
      <c r="O158" s="1" t="s">
        <v>134</v>
      </c>
      <c r="P158" s="1" t="s">
        <v>48</v>
      </c>
      <c r="Q158" s="1" t="s">
        <v>4290</v>
      </c>
      <c r="R158" s="1" t="s">
        <v>48</v>
      </c>
      <c r="S158" s="1" t="s">
        <v>4291</v>
      </c>
      <c r="T158" s="1" t="s">
        <v>4292</v>
      </c>
      <c r="U158" s="1" t="s">
        <v>832</v>
      </c>
      <c r="V158" s="1">
        <v>2021</v>
      </c>
      <c r="W158" s="1">
        <v>23</v>
      </c>
      <c r="X158" s="1">
        <v>5</v>
      </c>
      <c r="Y158" s="1" t="s">
        <v>48</v>
      </c>
      <c r="Z158" s="1" t="s">
        <v>48</v>
      </c>
      <c r="AA158" s="1" t="s">
        <v>48</v>
      </c>
      <c r="AB158" s="1" t="s">
        <v>48</v>
      </c>
      <c r="AC158" s="1" t="s">
        <v>48</v>
      </c>
      <c r="AD158" s="1" t="s">
        <v>48</v>
      </c>
      <c r="AE158" s="1">
        <v>577</v>
      </c>
      <c r="AF158" s="1" t="s">
        <v>9289</v>
      </c>
      <c r="AG158" s="1" t="str">
        <f>HYPERLINK("http://dx.doi.org/10.3390/e23050577","http://dx.doi.org/10.3390/e23050577")</f>
        <v>http://dx.doi.org/10.3390/e23050577</v>
      </c>
      <c r="AH158" s="1" t="s">
        <v>48</v>
      </c>
      <c r="AI158" s="1" t="s">
        <v>48</v>
      </c>
      <c r="AJ158" s="1">
        <v>23</v>
      </c>
      <c r="AK158" s="1" t="s">
        <v>669</v>
      </c>
      <c r="AL158" s="1" t="s">
        <v>67</v>
      </c>
      <c r="AM158" s="1" t="s">
        <v>670</v>
      </c>
      <c r="AN158" s="1">
        <v>34066646</v>
      </c>
      <c r="AO158" s="1" t="s">
        <v>366</v>
      </c>
      <c r="AP158" s="1" t="s">
        <v>48</v>
      </c>
      <c r="AQ158" s="1" t="s">
        <v>48</v>
      </c>
      <c r="AR158" s="1" t="s">
        <v>10610</v>
      </c>
    </row>
    <row r="159" spans="1:44" x14ac:dyDescent="0.45">
      <c r="A159" s="1" t="s">
        <v>9264</v>
      </c>
      <c r="B159" s="1" t="s">
        <v>9265</v>
      </c>
      <c r="C159" s="1" t="s">
        <v>4708</v>
      </c>
      <c r="D159" s="1" t="s">
        <v>52</v>
      </c>
      <c r="E159" s="1" t="s">
        <v>111</v>
      </c>
      <c r="F159" s="1" t="s">
        <v>9266</v>
      </c>
      <c r="G159" s="1" t="s">
        <v>115</v>
      </c>
      <c r="H159" s="1" t="s">
        <v>9267</v>
      </c>
      <c r="I159" s="1">
        <v>90</v>
      </c>
      <c r="J159" s="1">
        <v>5</v>
      </c>
      <c r="K159" s="1">
        <v>5</v>
      </c>
      <c r="L159" s="1">
        <v>6</v>
      </c>
      <c r="M159" s="1" t="s">
        <v>605</v>
      </c>
      <c r="N159" s="1" t="s">
        <v>239</v>
      </c>
      <c r="O159" s="1" t="s">
        <v>606</v>
      </c>
      <c r="P159" s="1" t="s">
        <v>4712</v>
      </c>
      <c r="Q159" s="1" t="s">
        <v>4713</v>
      </c>
      <c r="R159" s="1" t="s">
        <v>48</v>
      </c>
      <c r="S159" s="1" t="s">
        <v>4714</v>
      </c>
      <c r="T159" s="1" t="s">
        <v>4715</v>
      </c>
      <c r="U159" s="1" t="s">
        <v>9268</v>
      </c>
      <c r="V159" s="1">
        <v>2021</v>
      </c>
      <c r="W159" s="1" t="s">
        <v>48</v>
      </c>
      <c r="X159" s="1" t="s">
        <v>48</v>
      </c>
      <c r="Y159" s="1" t="s">
        <v>48</v>
      </c>
      <c r="Z159" s="1" t="s">
        <v>48</v>
      </c>
      <c r="AA159" s="1" t="s">
        <v>48</v>
      </c>
      <c r="AB159" s="1" t="s">
        <v>48</v>
      </c>
      <c r="AC159" s="1" t="s">
        <v>48</v>
      </c>
      <c r="AD159" s="1" t="s">
        <v>48</v>
      </c>
      <c r="AE159" s="1" t="s">
        <v>48</v>
      </c>
      <c r="AF159" s="1" t="s">
        <v>9269</v>
      </c>
      <c r="AG159" s="1" t="str">
        <f>HYPERLINK("http://dx.doi.org/10.1177/23197145211052817","http://dx.doi.org/10.1177/23197145211052817")</f>
        <v>http://dx.doi.org/10.1177/23197145211052817</v>
      </c>
      <c r="AH159" s="1" t="s">
        <v>48</v>
      </c>
      <c r="AI159" s="1" t="s">
        <v>10616</v>
      </c>
      <c r="AJ159" s="1">
        <v>14</v>
      </c>
      <c r="AK159" s="1" t="s">
        <v>1228</v>
      </c>
      <c r="AL159" s="1" t="s">
        <v>124</v>
      </c>
      <c r="AM159" s="1" t="s">
        <v>510</v>
      </c>
      <c r="AN159" s="1" t="s">
        <v>48</v>
      </c>
      <c r="AO159" s="1" t="s">
        <v>550</v>
      </c>
      <c r="AP159" s="1" t="s">
        <v>48</v>
      </c>
      <c r="AQ159" s="1" t="s">
        <v>48</v>
      </c>
      <c r="AR159" s="1" t="s">
        <v>10610</v>
      </c>
    </row>
    <row r="160" spans="1:44" x14ac:dyDescent="0.45">
      <c r="A160" s="1" t="s">
        <v>9290</v>
      </c>
      <c r="B160" s="1" t="s">
        <v>9291</v>
      </c>
      <c r="C160" s="1" t="s">
        <v>5896</v>
      </c>
      <c r="D160" s="1" t="s">
        <v>52</v>
      </c>
      <c r="E160" s="1" t="s">
        <v>53</v>
      </c>
      <c r="F160" s="1" t="s">
        <v>9292</v>
      </c>
      <c r="G160" s="1" t="s">
        <v>2374</v>
      </c>
      <c r="H160" s="1" t="s">
        <v>4379</v>
      </c>
      <c r="I160" s="1">
        <v>32</v>
      </c>
      <c r="J160" s="1">
        <v>3</v>
      </c>
      <c r="K160" s="1">
        <v>0</v>
      </c>
      <c r="L160" s="1">
        <v>1</v>
      </c>
      <c r="M160" s="1" t="s">
        <v>252</v>
      </c>
      <c r="N160" s="1" t="s">
        <v>253</v>
      </c>
      <c r="O160" s="1" t="s">
        <v>254</v>
      </c>
      <c r="P160" s="1" t="s">
        <v>5901</v>
      </c>
      <c r="Q160" s="1" t="s">
        <v>5902</v>
      </c>
      <c r="R160" s="1" t="s">
        <v>48</v>
      </c>
      <c r="S160" s="1" t="s">
        <v>5903</v>
      </c>
      <c r="T160" s="1" t="s">
        <v>5904</v>
      </c>
      <c r="U160" s="1" t="s">
        <v>436</v>
      </c>
      <c r="V160" s="1">
        <v>2022</v>
      </c>
      <c r="W160" s="1">
        <v>15</v>
      </c>
      <c r="X160" s="1">
        <v>3</v>
      </c>
      <c r="Y160" s="1" t="s">
        <v>48</v>
      </c>
      <c r="Z160" s="1" t="s">
        <v>48</v>
      </c>
      <c r="AA160" s="1" t="s">
        <v>48</v>
      </c>
      <c r="AB160" s="1" t="s">
        <v>48</v>
      </c>
      <c r="AC160" s="1">
        <v>2187</v>
      </c>
      <c r="AD160" s="1">
        <v>2206</v>
      </c>
      <c r="AE160" s="1" t="s">
        <v>48</v>
      </c>
      <c r="AF160" s="1" t="s">
        <v>9293</v>
      </c>
      <c r="AG160" s="1" t="str">
        <f>HYPERLINK("http://dx.doi.org/10.1007/s12065-021-00630-w","http://dx.doi.org/10.1007/s12065-021-00630-w")</f>
        <v>http://dx.doi.org/10.1007/s12065-021-00630-w</v>
      </c>
      <c r="AH160" s="1" t="s">
        <v>48</v>
      </c>
      <c r="AI160" s="1" t="s">
        <v>10611</v>
      </c>
      <c r="AJ160" s="1">
        <v>20</v>
      </c>
      <c r="AK160" s="1" t="s">
        <v>549</v>
      </c>
      <c r="AL160" s="1" t="s">
        <v>124</v>
      </c>
      <c r="AM160" s="1" t="s">
        <v>292</v>
      </c>
      <c r="AN160" s="1" t="s">
        <v>48</v>
      </c>
      <c r="AO160" s="1" t="s">
        <v>48</v>
      </c>
      <c r="AP160" s="1" t="s">
        <v>48</v>
      </c>
      <c r="AQ160" s="1" t="s">
        <v>48</v>
      </c>
      <c r="AR160" s="1" t="s">
        <v>10610</v>
      </c>
    </row>
    <row r="161" spans="1:44" x14ac:dyDescent="0.45">
      <c r="A161" s="1" t="s">
        <v>9294</v>
      </c>
      <c r="B161" s="1" t="s">
        <v>9295</v>
      </c>
      <c r="C161" s="1" t="s">
        <v>6695</v>
      </c>
      <c r="D161" s="1" t="s">
        <v>52</v>
      </c>
      <c r="E161" s="1" t="s">
        <v>3750</v>
      </c>
      <c r="F161" s="1" t="s">
        <v>9296</v>
      </c>
      <c r="G161" s="1" t="s">
        <v>58</v>
      </c>
      <c r="H161" s="1" t="s">
        <v>9297</v>
      </c>
      <c r="I161" s="1">
        <v>42</v>
      </c>
      <c r="J161" s="1">
        <v>8</v>
      </c>
      <c r="K161" s="1">
        <v>0</v>
      </c>
      <c r="L161" s="1">
        <v>12</v>
      </c>
      <c r="M161" s="1" t="s">
        <v>79</v>
      </c>
      <c r="N161" s="1" t="s">
        <v>80</v>
      </c>
      <c r="O161" s="1" t="s">
        <v>81</v>
      </c>
      <c r="P161" s="1" t="s">
        <v>6698</v>
      </c>
      <c r="Q161" s="1" t="s">
        <v>48</v>
      </c>
      <c r="R161" s="1" t="s">
        <v>48</v>
      </c>
      <c r="S161" s="1" t="s">
        <v>6699</v>
      </c>
      <c r="T161" s="1" t="s">
        <v>6700</v>
      </c>
      <c r="U161" s="1" t="s">
        <v>48</v>
      </c>
      <c r="V161" s="1">
        <v>2021</v>
      </c>
      <c r="W161" s="1">
        <v>43</v>
      </c>
      <c r="X161" s="1" t="s">
        <v>48</v>
      </c>
      <c r="Y161" s="1">
        <v>2</v>
      </c>
      <c r="Z161" s="1" t="s">
        <v>48</v>
      </c>
      <c r="AA161" s="1" t="s">
        <v>48</v>
      </c>
      <c r="AB161" s="1" t="s">
        <v>48</v>
      </c>
      <c r="AC161" s="1">
        <v>1154</v>
      </c>
      <c r="AD161" s="1">
        <v>1159</v>
      </c>
      <c r="AE161" s="1" t="s">
        <v>48</v>
      </c>
      <c r="AF161" s="1" t="s">
        <v>9298</v>
      </c>
      <c r="AG161" s="1" t="str">
        <f>HYPERLINK("http://dx.doi.org/10.1016/j.matpr.2020.08.608","http://dx.doi.org/10.1016/j.matpr.2020.08.608")</f>
        <v>http://dx.doi.org/10.1016/j.matpr.2020.08.608</v>
      </c>
      <c r="AH161" s="1" t="s">
        <v>48</v>
      </c>
      <c r="AI161" s="1" t="s">
        <v>10621</v>
      </c>
      <c r="AJ161" s="1">
        <v>6</v>
      </c>
      <c r="AK161" s="1" t="s">
        <v>1876</v>
      </c>
      <c r="AL161" s="1" t="s">
        <v>3758</v>
      </c>
      <c r="AM161" s="1" t="s">
        <v>1877</v>
      </c>
      <c r="AN161" s="1" t="s">
        <v>48</v>
      </c>
      <c r="AO161" s="1" t="s">
        <v>48</v>
      </c>
      <c r="AP161" s="1" t="s">
        <v>48</v>
      </c>
      <c r="AQ161" s="1" t="s">
        <v>48</v>
      </c>
      <c r="AR161" s="1" t="s">
        <v>10610</v>
      </c>
    </row>
    <row r="162" spans="1:44" x14ac:dyDescent="0.45">
      <c r="A162" s="1" t="s">
        <v>9299</v>
      </c>
      <c r="B162" s="1" t="s">
        <v>9300</v>
      </c>
      <c r="C162" s="1" t="s">
        <v>9301</v>
      </c>
      <c r="D162" s="1" t="s">
        <v>52</v>
      </c>
      <c r="E162" s="1" t="s">
        <v>53</v>
      </c>
      <c r="F162" s="1" t="s">
        <v>9302</v>
      </c>
      <c r="G162" s="1" t="s">
        <v>58</v>
      </c>
      <c r="H162" s="1" t="s">
        <v>9303</v>
      </c>
      <c r="I162" s="1">
        <v>32</v>
      </c>
      <c r="J162" s="1">
        <v>18</v>
      </c>
      <c r="K162" s="1">
        <v>0</v>
      </c>
      <c r="L162" s="1">
        <v>8</v>
      </c>
      <c r="M162" s="1" t="s">
        <v>9304</v>
      </c>
      <c r="N162" s="1" t="s">
        <v>749</v>
      </c>
      <c r="O162" s="1" t="s">
        <v>9305</v>
      </c>
      <c r="P162" s="1" t="s">
        <v>9306</v>
      </c>
      <c r="Q162" s="1" t="s">
        <v>9307</v>
      </c>
      <c r="R162" s="1" t="s">
        <v>48</v>
      </c>
      <c r="S162" s="1" t="s">
        <v>9308</v>
      </c>
      <c r="T162" s="1" t="s">
        <v>9309</v>
      </c>
      <c r="U162" s="1" t="s">
        <v>458</v>
      </c>
      <c r="V162" s="1">
        <v>2021</v>
      </c>
      <c r="W162" s="1">
        <v>29</v>
      </c>
      <c r="X162" s="1">
        <v>5</v>
      </c>
      <c r="Y162" s="1" t="s">
        <v>48</v>
      </c>
      <c r="Z162" s="1" t="s">
        <v>48</v>
      </c>
      <c r="AA162" s="1" t="s">
        <v>48</v>
      </c>
      <c r="AB162" s="1" t="s">
        <v>48</v>
      </c>
      <c r="AC162" s="1">
        <v>661</v>
      </c>
      <c r="AD162" s="1">
        <v>672</v>
      </c>
      <c r="AE162" s="1" t="s">
        <v>48</v>
      </c>
      <c r="AF162" s="1" t="s">
        <v>9310</v>
      </c>
      <c r="AG162" s="1" t="str">
        <f>HYPERLINK("http://dx.doi.org/10.1007/s41324-020-00376-0","http://dx.doi.org/10.1007/s41324-020-00376-0")</f>
        <v>http://dx.doi.org/10.1007/s41324-020-00376-0</v>
      </c>
      <c r="AH162" s="1" t="s">
        <v>48</v>
      </c>
      <c r="AI162" s="1" t="s">
        <v>10617</v>
      </c>
      <c r="AJ162" s="1">
        <v>12</v>
      </c>
      <c r="AK162" s="1" t="s">
        <v>9311</v>
      </c>
      <c r="AL162" s="1" t="s">
        <v>124</v>
      </c>
      <c r="AM162" s="1" t="s">
        <v>9311</v>
      </c>
      <c r="AN162" s="1" t="s">
        <v>48</v>
      </c>
      <c r="AO162" s="1" t="s">
        <v>48</v>
      </c>
      <c r="AP162" s="1" t="s">
        <v>48</v>
      </c>
      <c r="AQ162" s="1" t="s">
        <v>48</v>
      </c>
      <c r="AR162" s="1" t="s">
        <v>10610</v>
      </c>
    </row>
    <row r="163" spans="1:44" x14ac:dyDescent="0.45">
      <c r="A163" s="1" t="s">
        <v>9333</v>
      </c>
      <c r="B163" s="1" t="s">
        <v>9334</v>
      </c>
      <c r="C163" s="1" t="s">
        <v>9335</v>
      </c>
      <c r="D163" s="1" t="s">
        <v>52</v>
      </c>
      <c r="E163" s="1" t="s">
        <v>53</v>
      </c>
      <c r="F163" s="1" t="s">
        <v>9336</v>
      </c>
      <c r="G163" s="1" t="s">
        <v>3752</v>
      </c>
      <c r="H163" s="1" t="s">
        <v>9337</v>
      </c>
      <c r="I163" s="1">
        <v>65</v>
      </c>
      <c r="J163" s="1">
        <v>26</v>
      </c>
      <c r="K163" s="1">
        <v>3</v>
      </c>
      <c r="L163" s="1">
        <v>36</v>
      </c>
      <c r="M163" s="1" t="s">
        <v>215</v>
      </c>
      <c r="N163" s="1" t="s">
        <v>158</v>
      </c>
      <c r="O163" s="1" t="s">
        <v>216</v>
      </c>
      <c r="P163" s="1" t="s">
        <v>9338</v>
      </c>
      <c r="Q163" s="1" t="s">
        <v>9339</v>
      </c>
      <c r="R163" s="1" t="s">
        <v>48</v>
      </c>
      <c r="S163" s="1" t="s">
        <v>9335</v>
      </c>
      <c r="T163" s="1" t="s">
        <v>9340</v>
      </c>
      <c r="U163" s="1" t="s">
        <v>386</v>
      </c>
      <c r="V163" s="1">
        <v>2022</v>
      </c>
      <c r="W163" s="1">
        <v>286</v>
      </c>
      <c r="X163" s="1" t="s">
        <v>48</v>
      </c>
      <c r="Y163" s="1">
        <v>3</v>
      </c>
      <c r="Z163" s="1" t="s">
        <v>48</v>
      </c>
      <c r="AA163" s="1" t="s">
        <v>48</v>
      </c>
      <c r="AB163" s="1" t="s">
        <v>48</v>
      </c>
      <c r="AC163" s="1" t="s">
        <v>48</v>
      </c>
      <c r="AD163" s="1" t="s">
        <v>48</v>
      </c>
      <c r="AE163" s="1">
        <v>131874</v>
      </c>
      <c r="AF163" s="1" t="s">
        <v>9341</v>
      </c>
      <c r="AG163" s="1" t="str">
        <f>HYPERLINK("http://dx.doi.org/10.1016/j.chemosphere.2021.131874","http://dx.doi.org/10.1016/j.chemosphere.2021.131874")</f>
        <v>http://dx.doi.org/10.1016/j.chemosphere.2021.131874</v>
      </c>
      <c r="AH163" s="1" t="s">
        <v>48</v>
      </c>
      <c r="AI163" s="1" t="s">
        <v>10612</v>
      </c>
      <c r="AJ163" s="1">
        <v>12</v>
      </c>
      <c r="AK163" s="1" t="s">
        <v>438</v>
      </c>
      <c r="AL163" s="1" t="s">
        <v>67</v>
      </c>
      <c r="AM163" s="1" t="s">
        <v>439</v>
      </c>
      <c r="AN163" s="1">
        <v>34426280</v>
      </c>
      <c r="AO163" s="1" t="s">
        <v>48</v>
      </c>
      <c r="AP163" s="1" t="s">
        <v>48</v>
      </c>
      <c r="AQ163" s="1" t="s">
        <v>48</v>
      </c>
      <c r="AR163" s="1" t="s">
        <v>10610</v>
      </c>
    </row>
    <row r="164" spans="1:44" x14ac:dyDescent="0.45">
      <c r="A164" s="1" t="s">
        <v>9342</v>
      </c>
      <c r="B164" s="1" t="s">
        <v>9343</v>
      </c>
      <c r="C164" s="1" t="s">
        <v>9344</v>
      </c>
      <c r="D164" s="1" t="s">
        <v>52</v>
      </c>
      <c r="E164" s="1" t="s">
        <v>53</v>
      </c>
      <c r="F164" s="1" t="s">
        <v>9345</v>
      </c>
      <c r="G164" s="1" t="s">
        <v>5127</v>
      </c>
      <c r="H164" s="1" t="s">
        <v>9346</v>
      </c>
      <c r="I164" s="1">
        <v>77</v>
      </c>
      <c r="J164" s="1">
        <v>4</v>
      </c>
      <c r="K164" s="1">
        <v>0</v>
      </c>
      <c r="L164" s="1">
        <v>12</v>
      </c>
      <c r="M164" s="1" t="s">
        <v>9347</v>
      </c>
      <c r="N164" s="1" t="s">
        <v>632</v>
      </c>
      <c r="O164" s="1" t="s">
        <v>9348</v>
      </c>
      <c r="P164" s="1" t="s">
        <v>9349</v>
      </c>
      <c r="Q164" s="1" t="s">
        <v>9350</v>
      </c>
      <c r="R164" s="1" t="s">
        <v>48</v>
      </c>
      <c r="S164" s="1" t="s">
        <v>9351</v>
      </c>
      <c r="T164" s="1" t="s">
        <v>9352</v>
      </c>
      <c r="U164" s="1" t="s">
        <v>5395</v>
      </c>
      <c r="V164" s="1">
        <v>2021</v>
      </c>
      <c r="W164" s="1">
        <v>84</v>
      </c>
      <c r="X164" s="1" t="s">
        <v>10633</v>
      </c>
      <c r="Y164" s="1" t="s">
        <v>48</v>
      </c>
      <c r="Z164" s="1" t="s">
        <v>48</v>
      </c>
      <c r="AA164" s="1" t="s">
        <v>1260</v>
      </c>
      <c r="AB164" s="1" t="s">
        <v>48</v>
      </c>
      <c r="AC164" s="1">
        <v>2718</v>
      </c>
      <c r="AD164" s="1">
        <v>2736</v>
      </c>
      <c r="AE164" s="1" t="s">
        <v>48</v>
      </c>
      <c r="AF164" s="1" t="s">
        <v>9353</v>
      </c>
      <c r="AG164" s="1" t="str">
        <f>HYPERLINK("http://dx.doi.org/10.2166/wst.2021.223","http://dx.doi.org/10.2166/wst.2021.223")</f>
        <v>http://dx.doi.org/10.2166/wst.2021.223</v>
      </c>
      <c r="AH164" s="1" t="s">
        <v>48</v>
      </c>
      <c r="AI164" s="1" t="s">
        <v>10611</v>
      </c>
      <c r="AJ164" s="1">
        <v>19</v>
      </c>
      <c r="AK164" s="1" t="s">
        <v>1954</v>
      </c>
      <c r="AL164" s="1" t="s">
        <v>67</v>
      </c>
      <c r="AM164" s="1" t="s">
        <v>1955</v>
      </c>
      <c r="AN164" s="1">
        <v>34850689</v>
      </c>
      <c r="AO164" s="1" t="s">
        <v>125</v>
      </c>
      <c r="AP164" s="1" t="s">
        <v>48</v>
      </c>
      <c r="AQ164" s="1" t="s">
        <v>48</v>
      </c>
      <c r="AR164" s="1" t="s">
        <v>10610</v>
      </c>
    </row>
    <row r="165" spans="1:44" x14ac:dyDescent="0.45">
      <c r="A165" s="1" t="s">
        <v>9354</v>
      </c>
      <c r="B165" s="1" t="s">
        <v>9355</v>
      </c>
      <c r="C165" s="1" t="s">
        <v>9356</v>
      </c>
      <c r="D165" s="1" t="s">
        <v>52</v>
      </c>
      <c r="E165" s="1" t="s">
        <v>53</v>
      </c>
      <c r="F165" s="1" t="s">
        <v>9357</v>
      </c>
      <c r="G165" s="1" t="s">
        <v>58</v>
      </c>
      <c r="H165" s="1" t="s">
        <v>131</v>
      </c>
      <c r="I165" s="1">
        <v>32</v>
      </c>
      <c r="J165" s="1">
        <v>1</v>
      </c>
      <c r="K165" s="1">
        <v>0</v>
      </c>
      <c r="L165" s="1">
        <v>4</v>
      </c>
      <c r="M165" s="1" t="s">
        <v>9358</v>
      </c>
      <c r="N165" s="1" t="s">
        <v>3041</v>
      </c>
      <c r="O165" s="1" t="s">
        <v>9359</v>
      </c>
      <c r="P165" s="1" t="s">
        <v>9360</v>
      </c>
      <c r="Q165" s="1" t="s">
        <v>9361</v>
      </c>
      <c r="R165" s="1" t="s">
        <v>48</v>
      </c>
      <c r="S165" s="1" t="s">
        <v>9362</v>
      </c>
      <c r="T165" s="1" t="s">
        <v>9363</v>
      </c>
      <c r="U165" s="1" t="s">
        <v>48</v>
      </c>
      <c r="V165" s="1">
        <v>2021</v>
      </c>
      <c r="W165" s="1">
        <v>14</v>
      </c>
      <c r="X165" s="1">
        <v>1</v>
      </c>
      <c r="Y165" s="1" t="s">
        <v>48</v>
      </c>
      <c r="Z165" s="1" t="s">
        <v>48</v>
      </c>
      <c r="AA165" s="1" t="s">
        <v>48</v>
      </c>
      <c r="AB165" s="1" t="s">
        <v>48</v>
      </c>
      <c r="AC165" s="1">
        <v>1773</v>
      </c>
      <c r="AD165" s="1">
        <v>1783</v>
      </c>
      <c r="AE165" s="1" t="s">
        <v>48</v>
      </c>
      <c r="AF165" s="1" t="s">
        <v>9364</v>
      </c>
      <c r="AG165" s="1" t="str">
        <f>HYPERLINK("http://dx.doi.org/10.2991/ijcis.d.210610.001","http://dx.doi.org/10.2991/ijcis.d.210610.001")</f>
        <v>http://dx.doi.org/10.2991/ijcis.d.210610.001</v>
      </c>
      <c r="AH165" s="1" t="s">
        <v>48</v>
      </c>
      <c r="AI165" s="1" t="s">
        <v>48</v>
      </c>
      <c r="AJ165" s="1">
        <v>11</v>
      </c>
      <c r="AK165" s="1" t="s">
        <v>1746</v>
      </c>
      <c r="AL165" s="1" t="s">
        <v>67</v>
      </c>
      <c r="AM165" s="1" t="s">
        <v>292</v>
      </c>
      <c r="AN165" s="1" t="s">
        <v>48</v>
      </c>
      <c r="AO165" s="1" t="s">
        <v>125</v>
      </c>
      <c r="AP165" s="1" t="s">
        <v>48</v>
      </c>
      <c r="AQ165" s="1" t="s">
        <v>48</v>
      </c>
      <c r="AR165" s="1" t="s">
        <v>10610</v>
      </c>
    </row>
    <row r="166" spans="1:44" x14ac:dyDescent="0.45">
      <c r="A166" s="1" t="s">
        <v>2232</v>
      </c>
      <c r="B166" s="1" t="s">
        <v>9321</v>
      </c>
      <c r="C166" s="1" t="s">
        <v>9322</v>
      </c>
      <c r="D166" s="1" t="s">
        <v>52</v>
      </c>
      <c r="E166" s="1" t="s">
        <v>53</v>
      </c>
      <c r="F166" s="1" t="s">
        <v>9323</v>
      </c>
      <c r="G166" s="1" t="s">
        <v>3582</v>
      </c>
      <c r="H166" s="1" t="s">
        <v>9324</v>
      </c>
      <c r="I166" s="1">
        <v>29</v>
      </c>
      <c r="J166" s="1">
        <v>2</v>
      </c>
      <c r="K166" s="1">
        <v>0</v>
      </c>
      <c r="L166" s="1">
        <v>4</v>
      </c>
      <c r="M166" s="1" t="s">
        <v>2469</v>
      </c>
      <c r="N166" s="1" t="s">
        <v>504</v>
      </c>
      <c r="O166" s="1" t="s">
        <v>2470</v>
      </c>
      <c r="P166" s="1" t="s">
        <v>9325</v>
      </c>
      <c r="Q166" s="1" t="s">
        <v>9326</v>
      </c>
      <c r="R166" s="1" t="s">
        <v>48</v>
      </c>
      <c r="S166" s="1" t="s">
        <v>9327</v>
      </c>
      <c r="T166" s="1" t="s">
        <v>9328</v>
      </c>
      <c r="U166" s="1" t="s">
        <v>386</v>
      </c>
      <c r="V166" s="1">
        <v>2021</v>
      </c>
      <c r="W166" s="1">
        <v>11</v>
      </c>
      <c r="X166" s="1">
        <v>1</v>
      </c>
      <c r="Y166" s="1" t="s">
        <v>48</v>
      </c>
      <c r="Z166" s="1" t="s">
        <v>48</v>
      </c>
      <c r="AA166" s="1" t="s">
        <v>48</v>
      </c>
      <c r="AB166" s="1" t="s">
        <v>48</v>
      </c>
      <c r="AC166" s="1">
        <v>8</v>
      </c>
      <c r="AD166" s="1">
        <v>21</v>
      </c>
      <c r="AE166" s="1" t="s">
        <v>48</v>
      </c>
      <c r="AF166" s="1" t="s">
        <v>9329</v>
      </c>
      <c r="AG166" s="1" t="str">
        <f>HYPERLINK("http://dx.doi.org/10.1134/S2079057021010422","http://dx.doi.org/10.1134/S2079057021010422")</f>
        <v>http://dx.doi.org/10.1134/S2079057021010422</v>
      </c>
      <c r="AH166" s="1" t="s">
        <v>48</v>
      </c>
      <c r="AI166" s="1" t="s">
        <v>48</v>
      </c>
      <c r="AJ166" s="1">
        <v>14</v>
      </c>
      <c r="AK166" s="1" t="s">
        <v>2264</v>
      </c>
      <c r="AL166" s="1" t="s">
        <v>124</v>
      </c>
      <c r="AM166" s="1" t="s">
        <v>2264</v>
      </c>
      <c r="AN166" s="1" t="s">
        <v>48</v>
      </c>
      <c r="AO166" s="1" t="s">
        <v>48</v>
      </c>
      <c r="AP166" s="1" t="s">
        <v>48</v>
      </c>
      <c r="AQ166" s="1" t="s">
        <v>48</v>
      </c>
      <c r="AR166" s="1" t="s">
        <v>10610</v>
      </c>
    </row>
    <row r="167" spans="1:44" x14ac:dyDescent="0.45">
      <c r="A167" s="1" t="s">
        <v>4252</v>
      </c>
      <c r="B167" s="1" t="s">
        <v>9330</v>
      </c>
      <c r="C167" s="1" t="s">
        <v>9271</v>
      </c>
      <c r="D167" s="1" t="s">
        <v>52</v>
      </c>
      <c r="E167" s="1" t="s">
        <v>53</v>
      </c>
      <c r="F167" s="1" t="s">
        <v>9331</v>
      </c>
      <c r="G167" s="1" t="s">
        <v>4256</v>
      </c>
      <c r="H167" s="1" t="s">
        <v>4257</v>
      </c>
      <c r="I167" s="1">
        <v>10</v>
      </c>
      <c r="J167" s="1">
        <v>1</v>
      </c>
      <c r="K167" s="1">
        <v>0</v>
      </c>
      <c r="L167" s="1">
        <v>5</v>
      </c>
      <c r="M167" s="1" t="s">
        <v>9274</v>
      </c>
      <c r="N167" s="1" t="s">
        <v>9275</v>
      </c>
      <c r="O167" s="1" t="s">
        <v>9276</v>
      </c>
      <c r="P167" s="1" t="s">
        <v>9277</v>
      </c>
      <c r="Q167" s="1" t="s">
        <v>9278</v>
      </c>
      <c r="R167" s="1" t="s">
        <v>48</v>
      </c>
      <c r="S167" s="1" t="s">
        <v>9279</v>
      </c>
      <c r="T167" s="1" t="s">
        <v>9280</v>
      </c>
      <c r="U167" s="1" t="s">
        <v>598</v>
      </c>
      <c r="V167" s="1">
        <v>2021</v>
      </c>
      <c r="W167" s="1">
        <v>72</v>
      </c>
      <c r="X167" s="1">
        <v>4</v>
      </c>
      <c r="Y167" s="1" t="s">
        <v>48</v>
      </c>
      <c r="Z167" s="1" t="s">
        <v>48</v>
      </c>
      <c r="AA167" s="1" t="s">
        <v>48</v>
      </c>
      <c r="AB167" s="1" t="s">
        <v>48</v>
      </c>
      <c r="AC167" s="1">
        <v>268</v>
      </c>
      <c r="AD167" s="1">
        <v>272</v>
      </c>
      <c r="AE167" s="1" t="s">
        <v>48</v>
      </c>
      <c r="AF167" s="1" t="s">
        <v>9332</v>
      </c>
      <c r="AG167" s="1" t="str">
        <f>HYPERLINK("http://dx.doi.org/10.2478/jee-2021-0037","http://dx.doi.org/10.2478/jee-2021-0037")</f>
        <v>http://dx.doi.org/10.2478/jee-2021-0037</v>
      </c>
      <c r="AH167" s="1" t="s">
        <v>48</v>
      </c>
      <c r="AI167" s="1" t="s">
        <v>48</v>
      </c>
      <c r="AJ167" s="1">
        <v>5</v>
      </c>
      <c r="AK167" s="1" t="s">
        <v>3913</v>
      </c>
      <c r="AL167" s="1" t="s">
        <v>67</v>
      </c>
      <c r="AM167" s="1" t="s">
        <v>1733</v>
      </c>
      <c r="AN167" s="1" t="s">
        <v>48</v>
      </c>
      <c r="AO167" s="1" t="s">
        <v>125</v>
      </c>
      <c r="AP167" s="1" t="s">
        <v>48</v>
      </c>
      <c r="AQ167" s="1" t="s">
        <v>48</v>
      </c>
      <c r="AR167" s="1" t="s">
        <v>10610</v>
      </c>
    </row>
    <row r="168" spans="1:44" x14ac:dyDescent="0.45">
      <c r="A168" s="1" t="s">
        <v>9471</v>
      </c>
      <c r="B168" s="1" t="s">
        <v>9472</v>
      </c>
      <c r="C168" s="1" t="s">
        <v>9473</v>
      </c>
      <c r="D168" s="1" t="s">
        <v>52</v>
      </c>
      <c r="E168" s="1" t="s">
        <v>53</v>
      </c>
      <c r="F168" s="1" t="s">
        <v>9474</v>
      </c>
      <c r="G168" s="1" t="s">
        <v>3900</v>
      </c>
      <c r="H168" s="1" t="s">
        <v>3901</v>
      </c>
      <c r="I168" s="1">
        <v>25</v>
      </c>
      <c r="J168" s="1">
        <v>8</v>
      </c>
      <c r="K168" s="1">
        <v>0</v>
      </c>
      <c r="L168" s="1">
        <v>0</v>
      </c>
      <c r="M168" s="1" t="s">
        <v>503</v>
      </c>
      <c r="N168" s="1" t="s">
        <v>504</v>
      </c>
      <c r="O168" s="1" t="s">
        <v>505</v>
      </c>
      <c r="P168" s="1" t="s">
        <v>9475</v>
      </c>
      <c r="Q168" s="1" t="s">
        <v>9476</v>
      </c>
      <c r="R168" s="1" t="s">
        <v>48</v>
      </c>
      <c r="S168" s="1" t="s">
        <v>9477</v>
      </c>
      <c r="T168" s="1" t="s">
        <v>9478</v>
      </c>
      <c r="U168" s="1" t="s">
        <v>832</v>
      </c>
      <c r="V168" s="1">
        <v>2021</v>
      </c>
      <c r="W168" s="1">
        <v>94</v>
      </c>
      <c r="X168" s="1">
        <v>3</v>
      </c>
      <c r="Y168" s="1" t="s">
        <v>48</v>
      </c>
      <c r="Z168" s="1" t="s">
        <v>48</v>
      </c>
      <c r="AA168" s="1" t="s">
        <v>48</v>
      </c>
      <c r="AB168" s="1" t="s">
        <v>48</v>
      </c>
      <c r="AC168" s="1">
        <v>702</v>
      </c>
      <c r="AD168" s="1">
        <v>713</v>
      </c>
      <c r="AE168" s="1" t="s">
        <v>48</v>
      </c>
      <c r="AF168" s="1" t="s">
        <v>9479</v>
      </c>
      <c r="AG168" s="1" t="str">
        <f>HYPERLINK("http://dx.doi.org/10.1007/s10891-021-02347-0","http://dx.doi.org/10.1007/s10891-021-02347-0")</f>
        <v>http://dx.doi.org/10.1007/s10891-021-02347-0</v>
      </c>
      <c r="AH168" s="1" t="s">
        <v>48</v>
      </c>
      <c r="AI168" s="1" t="s">
        <v>10611</v>
      </c>
      <c r="AJ168" s="1">
        <v>12</v>
      </c>
      <c r="AK168" s="1" t="s">
        <v>5635</v>
      </c>
      <c r="AL168" s="1" t="s">
        <v>124</v>
      </c>
      <c r="AM168" s="1" t="s">
        <v>5635</v>
      </c>
      <c r="AN168" s="1" t="s">
        <v>48</v>
      </c>
      <c r="AO168" s="1" t="s">
        <v>48</v>
      </c>
      <c r="AP168" s="1" t="s">
        <v>48</v>
      </c>
      <c r="AQ168" s="1" t="s">
        <v>48</v>
      </c>
      <c r="AR168" s="1" t="s">
        <v>10610</v>
      </c>
    </row>
    <row r="169" spans="1:44" x14ac:dyDescent="0.45">
      <c r="A169" s="1" t="s">
        <v>9480</v>
      </c>
      <c r="B169" s="1" t="s">
        <v>9481</v>
      </c>
      <c r="C169" s="1" t="s">
        <v>6297</v>
      </c>
      <c r="D169" s="1" t="s">
        <v>52</v>
      </c>
      <c r="E169" s="1" t="s">
        <v>53</v>
      </c>
      <c r="F169" s="1" t="s">
        <v>9482</v>
      </c>
      <c r="G169" s="1" t="s">
        <v>9483</v>
      </c>
      <c r="H169" s="1" t="s">
        <v>9484</v>
      </c>
      <c r="I169" s="1">
        <v>44</v>
      </c>
      <c r="J169" s="1">
        <v>3</v>
      </c>
      <c r="K169" s="1">
        <v>0</v>
      </c>
      <c r="L169" s="1">
        <v>2</v>
      </c>
      <c r="M169" s="1" t="s">
        <v>79</v>
      </c>
      <c r="N169" s="1" t="s">
        <v>80</v>
      </c>
      <c r="O169" s="1" t="s">
        <v>81</v>
      </c>
      <c r="P169" s="1" t="s">
        <v>48</v>
      </c>
      <c r="Q169" s="1" t="s">
        <v>6301</v>
      </c>
      <c r="R169" s="1" t="s">
        <v>48</v>
      </c>
      <c r="S169" s="1" t="s">
        <v>6302</v>
      </c>
      <c r="T169" s="1" t="s">
        <v>6303</v>
      </c>
      <c r="U169" s="1" t="s">
        <v>243</v>
      </c>
      <c r="V169" s="1">
        <v>2021</v>
      </c>
      <c r="W169" s="1">
        <v>23</v>
      </c>
      <c r="X169" s="1" t="s">
        <v>48</v>
      </c>
      <c r="Y169" s="1" t="s">
        <v>48</v>
      </c>
      <c r="Z169" s="1" t="s">
        <v>48</v>
      </c>
      <c r="AA169" s="1" t="s">
        <v>48</v>
      </c>
      <c r="AB169" s="1" t="s">
        <v>48</v>
      </c>
      <c r="AC169" s="1" t="s">
        <v>48</v>
      </c>
      <c r="AD169" s="1" t="s">
        <v>48</v>
      </c>
      <c r="AE169" s="1">
        <v>101127</v>
      </c>
      <c r="AF169" s="1" t="s">
        <v>9485</v>
      </c>
      <c r="AG169" s="1" t="str">
        <f>HYPERLINK("http://dx.doi.org/10.1016/j.genrep.2021.101127","http://dx.doi.org/10.1016/j.genrep.2021.101127")</f>
        <v>http://dx.doi.org/10.1016/j.genrep.2021.101127</v>
      </c>
      <c r="AH169" s="1" t="s">
        <v>48</v>
      </c>
      <c r="AI169" s="1" t="s">
        <v>10621</v>
      </c>
      <c r="AJ169" s="1">
        <v>8</v>
      </c>
      <c r="AK169" s="1" t="s">
        <v>1557</v>
      </c>
      <c r="AL169" s="1" t="s">
        <v>124</v>
      </c>
      <c r="AM169" s="1" t="s">
        <v>1557</v>
      </c>
      <c r="AN169" s="1" t="s">
        <v>48</v>
      </c>
      <c r="AO169" s="1" t="s">
        <v>48</v>
      </c>
      <c r="AP169" s="1" t="s">
        <v>48</v>
      </c>
      <c r="AQ169" s="1" t="s">
        <v>48</v>
      </c>
      <c r="AR169" s="1" t="s">
        <v>10610</v>
      </c>
    </row>
    <row r="170" spans="1:44" x14ac:dyDescent="0.45">
      <c r="A170" s="1" t="s">
        <v>9312</v>
      </c>
      <c r="B170" s="1" t="s">
        <v>9486</v>
      </c>
      <c r="C170" s="1" t="s">
        <v>2575</v>
      </c>
      <c r="D170" s="1" t="s">
        <v>52</v>
      </c>
      <c r="E170" s="1" t="s">
        <v>53</v>
      </c>
      <c r="F170" s="1" t="s">
        <v>9487</v>
      </c>
      <c r="G170" s="1" t="s">
        <v>3752</v>
      </c>
      <c r="H170" s="1" t="s">
        <v>4379</v>
      </c>
      <c r="I170" s="1">
        <v>33</v>
      </c>
      <c r="J170" s="1">
        <v>19</v>
      </c>
      <c r="K170" s="1">
        <v>4</v>
      </c>
      <c r="L170" s="1">
        <v>25</v>
      </c>
      <c r="M170" s="1" t="s">
        <v>503</v>
      </c>
      <c r="N170" s="1" t="s">
        <v>542</v>
      </c>
      <c r="O170" s="1" t="s">
        <v>543</v>
      </c>
      <c r="P170" s="1" t="s">
        <v>2581</v>
      </c>
      <c r="Q170" s="1" t="s">
        <v>2582</v>
      </c>
      <c r="R170" s="1" t="s">
        <v>48</v>
      </c>
      <c r="S170" s="1" t="s">
        <v>2583</v>
      </c>
      <c r="T170" s="1" t="s">
        <v>2584</v>
      </c>
      <c r="U170" s="1" t="s">
        <v>243</v>
      </c>
      <c r="V170" s="1">
        <v>2021</v>
      </c>
      <c r="W170" s="1">
        <v>80</v>
      </c>
      <c r="X170" s="1">
        <v>14</v>
      </c>
      <c r="Y170" s="1" t="s">
        <v>48</v>
      </c>
      <c r="Z170" s="1" t="s">
        <v>48</v>
      </c>
      <c r="AA170" s="1" t="s">
        <v>48</v>
      </c>
      <c r="AB170" s="1" t="s">
        <v>48</v>
      </c>
      <c r="AC170" s="1">
        <v>21651</v>
      </c>
      <c r="AD170" s="1">
        <v>21678</v>
      </c>
      <c r="AE170" s="1" t="s">
        <v>48</v>
      </c>
      <c r="AF170" s="1" t="s">
        <v>9488</v>
      </c>
      <c r="AG170" s="1" t="str">
        <f>HYPERLINK("http://dx.doi.org/10.1007/s11042-021-10651-3","http://dx.doi.org/10.1007/s11042-021-10651-3")</f>
        <v>http://dx.doi.org/10.1007/s11042-021-10651-3</v>
      </c>
      <c r="AH170" s="1" t="s">
        <v>48</v>
      </c>
      <c r="AI170" s="1" t="s">
        <v>10618</v>
      </c>
      <c r="AJ170" s="1">
        <v>28</v>
      </c>
      <c r="AK170" s="1" t="s">
        <v>2586</v>
      </c>
      <c r="AL170" s="1" t="s">
        <v>67</v>
      </c>
      <c r="AM170" s="1" t="s">
        <v>389</v>
      </c>
      <c r="AN170" s="1" t="s">
        <v>48</v>
      </c>
      <c r="AO170" s="1" t="s">
        <v>48</v>
      </c>
      <c r="AP170" s="1" t="s">
        <v>48</v>
      </c>
      <c r="AQ170" s="1" t="s">
        <v>48</v>
      </c>
      <c r="AR170" s="1" t="s">
        <v>10610</v>
      </c>
    </row>
    <row r="171" spans="1:44" x14ac:dyDescent="0.45">
      <c r="A171" s="1" t="s">
        <v>9197</v>
      </c>
      <c r="B171" s="1" t="s">
        <v>9489</v>
      </c>
      <c r="C171" s="1" t="s">
        <v>9199</v>
      </c>
      <c r="D171" s="1" t="s">
        <v>52</v>
      </c>
      <c r="E171" s="1" t="s">
        <v>1802</v>
      </c>
      <c r="F171" s="1" t="s">
        <v>9200</v>
      </c>
      <c r="G171" s="1" t="s">
        <v>4402</v>
      </c>
      <c r="H171" s="1" t="s">
        <v>9201</v>
      </c>
      <c r="I171" s="1">
        <v>0</v>
      </c>
      <c r="J171" s="1">
        <v>0</v>
      </c>
      <c r="K171" s="1">
        <v>0</v>
      </c>
      <c r="L171" s="1">
        <v>0</v>
      </c>
      <c r="M171" s="1" t="s">
        <v>1805</v>
      </c>
      <c r="N171" s="1" t="s">
        <v>146</v>
      </c>
      <c r="O171" s="1" t="s">
        <v>1806</v>
      </c>
      <c r="P171" s="1" t="s">
        <v>8877</v>
      </c>
      <c r="Q171" s="1" t="s">
        <v>8878</v>
      </c>
      <c r="R171" s="1" t="s">
        <v>9202</v>
      </c>
      <c r="S171" s="1" t="s">
        <v>8880</v>
      </c>
      <c r="T171" s="1" t="s">
        <v>48</v>
      </c>
      <c r="U171" s="1" t="s">
        <v>48</v>
      </c>
      <c r="V171" s="1">
        <v>2021</v>
      </c>
      <c r="W171" s="1" t="s">
        <v>48</v>
      </c>
      <c r="X171" s="1" t="s">
        <v>48</v>
      </c>
      <c r="Y171" s="1" t="s">
        <v>48</v>
      </c>
      <c r="Z171" s="1" t="s">
        <v>48</v>
      </c>
      <c r="AA171" s="1" t="s">
        <v>48</v>
      </c>
      <c r="AB171" s="1" t="s">
        <v>48</v>
      </c>
      <c r="AC171" s="1">
        <v>77</v>
      </c>
      <c r="AD171" s="1">
        <v>83</v>
      </c>
      <c r="AE171" s="1" t="s">
        <v>48</v>
      </c>
      <c r="AF171" s="1" t="s">
        <v>48</v>
      </c>
      <c r="AG171" s="1" t="s">
        <v>48</v>
      </c>
      <c r="AH171" s="1" t="s">
        <v>48</v>
      </c>
      <c r="AI171" s="1" t="s">
        <v>48</v>
      </c>
      <c r="AJ171" s="1">
        <v>7</v>
      </c>
      <c r="AK171" s="1" t="s">
        <v>1228</v>
      </c>
      <c r="AL171" s="1" t="s">
        <v>592</v>
      </c>
      <c r="AM171" s="1" t="s">
        <v>510</v>
      </c>
      <c r="AN171" s="1" t="s">
        <v>48</v>
      </c>
      <c r="AO171" s="1" t="s">
        <v>48</v>
      </c>
      <c r="AP171" s="1" t="s">
        <v>48</v>
      </c>
      <c r="AQ171" s="1" t="s">
        <v>48</v>
      </c>
      <c r="AR171" s="1" t="s">
        <v>10610</v>
      </c>
    </row>
    <row r="172" spans="1:44" x14ac:dyDescent="0.45">
      <c r="A172" s="1" t="s">
        <v>9365</v>
      </c>
      <c r="B172" s="1" t="s">
        <v>9366</v>
      </c>
      <c r="C172" s="1" t="s">
        <v>1150</v>
      </c>
      <c r="D172" s="1" t="s">
        <v>52</v>
      </c>
      <c r="E172" s="1" t="s">
        <v>1114</v>
      </c>
      <c r="F172" s="1" t="s">
        <v>9367</v>
      </c>
      <c r="G172" s="1" t="s">
        <v>58</v>
      </c>
      <c r="H172" s="1" t="s">
        <v>2600</v>
      </c>
      <c r="I172" s="1">
        <v>167</v>
      </c>
      <c r="J172" s="1">
        <v>2</v>
      </c>
      <c r="K172" s="1">
        <v>2</v>
      </c>
      <c r="L172" s="1">
        <v>7</v>
      </c>
      <c r="M172" s="1" t="s">
        <v>517</v>
      </c>
      <c r="N172" s="1" t="s">
        <v>239</v>
      </c>
      <c r="O172" s="1" t="s">
        <v>518</v>
      </c>
      <c r="P172" s="1" t="s">
        <v>1153</v>
      </c>
      <c r="Q172" s="1" t="s">
        <v>1154</v>
      </c>
      <c r="R172" s="1" t="s">
        <v>48</v>
      </c>
      <c r="S172" s="1" t="s">
        <v>1155</v>
      </c>
      <c r="T172" s="1" t="s">
        <v>1156</v>
      </c>
      <c r="U172" s="1" t="s">
        <v>243</v>
      </c>
      <c r="V172" s="1">
        <v>2021</v>
      </c>
      <c r="W172" s="1">
        <v>68</v>
      </c>
      <c r="X172" s="1">
        <v>2</v>
      </c>
      <c r="Y172" s="1" t="s">
        <v>48</v>
      </c>
      <c r="Z172" s="1" t="s">
        <v>48</v>
      </c>
      <c r="AA172" s="1" t="s">
        <v>48</v>
      </c>
      <c r="AB172" s="1" t="s">
        <v>48</v>
      </c>
      <c r="AC172" s="1">
        <v>152</v>
      </c>
      <c r="AD172" s="1">
        <v>169</v>
      </c>
      <c r="AE172" s="1" t="s">
        <v>48</v>
      </c>
      <c r="AF172" s="1" t="s">
        <v>9368</v>
      </c>
      <c r="AG172" s="1" t="str">
        <f>HYPERLINK("http://dx.doi.org/10.56042/alis.v68i2.41198","http://dx.doi.org/10.56042/alis.v68i2.41198")</f>
        <v>http://dx.doi.org/10.56042/alis.v68i2.41198</v>
      </c>
      <c r="AH172" s="1" t="s">
        <v>48</v>
      </c>
      <c r="AI172" s="1" t="s">
        <v>48</v>
      </c>
      <c r="AJ172" s="1">
        <v>18</v>
      </c>
      <c r="AK172" s="1" t="s">
        <v>1158</v>
      </c>
      <c r="AL172" s="1" t="s">
        <v>124</v>
      </c>
      <c r="AM172" s="1" t="s">
        <v>1158</v>
      </c>
      <c r="AN172" s="1" t="s">
        <v>48</v>
      </c>
      <c r="AO172" s="1" t="s">
        <v>3590</v>
      </c>
      <c r="AP172" s="1" t="s">
        <v>48</v>
      </c>
      <c r="AQ172" s="1" t="s">
        <v>48</v>
      </c>
      <c r="AR172" s="1" t="s">
        <v>10610</v>
      </c>
    </row>
    <row r="173" spans="1:44" x14ac:dyDescent="0.45">
      <c r="A173" s="1" t="s">
        <v>9369</v>
      </c>
      <c r="B173" s="1" t="s">
        <v>9370</v>
      </c>
      <c r="C173" s="1" t="s">
        <v>9371</v>
      </c>
      <c r="D173" s="1" t="s">
        <v>52</v>
      </c>
      <c r="E173" s="1" t="s">
        <v>53</v>
      </c>
      <c r="F173" s="1" t="s">
        <v>9372</v>
      </c>
      <c r="G173" s="1" t="s">
        <v>58</v>
      </c>
      <c r="H173" s="1" t="s">
        <v>9373</v>
      </c>
      <c r="I173" s="1">
        <v>39</v>
      </c>
      <c r="J173" s="1">
        <v>0</v>
      </c>
      <c r="K173" s="1">
        <v>0</v>
      </c>
      <c r="L173" s="1">
        <v>6</v>
      </c>
      <c r="M173" s="1" t="s">
        <v>145</v>
      </c>
      <c r="N173" s="1" t="s">
        <v>146</v>
      </c>
      <c r="O173" s="1" t="s">
        <v>147</v>
      </c>
      <c r="P173" s="1" t="s">
        <v>9374</v>
      </c>
      <c r="Q173" s="1" t="s">
        <v>9375</v>
      </c>
      <c r="R173" s="1" t="s">
        <v>48</v>
      </c>
      <c r="S173" s="1" t="s">
        <v>9376</v>
      </c>
      <c r="T173" s="1" t="s">
        <v>9377</v>
      </c>
      <c r="U173" s="1" t="s">
        <v>175</v>
      </c>
      <c r="V173" s="1">
        <v>2021</v>
      </c>
      <c r="W173" s="1">
        <v>79</v>
      </c>
      <c r="X173" s="1">
        <v>2</v>
      </c>
      <c r="Y173" s="1" t="s">
        <v>48</v>
      </c>
      <c r="Z173" s="1" t="s">
        <v>48</v>
      </c>
      <c r="AA173" s="1" t="s">
        <v>48</v>
      </c>
      <c r="AB173" s="1" t="s">
        <v>48</v>
      </c>
      <c r="AC173" s="1">
        <v>357</v>
      </c>
      <c r="AD173" s="1">
        <v>379</v>
      </c>
      <c r="AE173" s="1" t="s">
        <v>48</v>
      </c>
      <c r="AF173" s="1" t="s">
        <v>9378</v>
      </c>
      <c r="AG173" s="1" t="str">
        <f>HYPERLINK("http://dx.doi.org/10.1080/00346764.2019.1671605","http://dx.doi.org/10.1080/00346764.2019.1671605")</f>
        <v>http://dx.doi.org/10.1080/00346764.2019.1671605</v>
      </c>
      <c r="AH173" s="1" t="s">
        <v>48</v>
      </c>
      <c r="AI173" s="1" t="s">
        <v>48</v>
      </c>
      <c r="AJ173" s="1">
        <v>23</v>
      </c>
      <c r="AK173" s="1" t="s">
        <v>509</v>
      </c>
      <c r="AL173" s="1" t="s">
        <v>124</v>
      </c>
      <c r="AM173" s="1" t="s">
        <v>510</v>
      </c>
      <c r="AN173" s="1" t="s">
        <v>48</v>
      </c>
      <c r="AO173" s="1" t="s">
        <v>48</v>
      </c>
      <c r="AP173" s="1" t="s">
        <v>48</v>
      </c>
      <c r="AQ173" s="1" t="s">
        <v>48</v>
      </c>
      <c r="AR173" s="1" t="s">
        <v>10610</v>
      </c>
    </row>
    <row r="174" spans="1:44" x14ac:dyDescent="0.45">
      <c r="A174" s="1" t="s">
        <v>9197</v>
      </c>
      <c r="B174" s="1" t="s">
        <v>9379</v>
      </c>
      <c r="C174" s="1" t="s">
        <v>9199</v>
      </c>
      <c r="D174" s="1" t="s">
        <v>52</v>
      </c>
      <c r="E174" s="1" t="s">
        <v>585</v>
      </c>
      <c r="F174" s="1" t="s">
        <v>9200</v>
      </c>
      <c r="G174" s="1" t="s">
        <v>4402</v>
      </c>
      <c r="H174" s="1" t="s">
        <v>9201</v>
      </c>
      <c r="I174" s="1">
        <v>14</v>
      </c>
      <c r="J174" s="1">
        <v>0</v>
      </c>
      <c r="K174" s="1">
        <v>1</v>
      </c>
      <c r="L174" s="1">
        <v>1</v>
      </c>
      <c r="M174" s="1" t="s">
        <v>1805</v>
      </c>
      <c r="N174" s="1" t="s">
        <v>146</v>
      </c>
      <c r="O174" s="1" t="s">
        <v>1806</v>
      </c>
      <c r="P174" s="1" t="s">
        <v>8877</v>
      </c>
      <c r="Q174" s="1" t="s">
        <v>8878</v>
      </c>
      <c r="R174" s="1" t="s">
        <v>9202</v>
      </c>
      <c r="S174" s="1" t="s">
        <v>8880</v>
      </c>
      <c r="T174" s="1" t="s">
        <v>48</v>
      </c>
      <c r="U174" s="1" t="s">
        <v>48</v>
      </c>
      <c r="V174" s="1">
        <v>2021</v>
      </c>
      <c r="W174" s="1" t="s">
        <v>48</v>
      </c>
      <c r="X174" s="1" t="s">
        <v>48</v>
      </c>
      <c r="Y174" s="1" t="s">
        <v>48</v>
      </c>
      <c r="Z174" s="1" t="s">
        <v>48</v>
      </c>
      <c r="AA174" s="1" t="s">
        <v>48</v>
      </c>
      <c r="AB174" s="1" t="s">
        <v>48</v>
      </c>
      <c r="AC174" s="1">
        <v>36</v>
      </c>
      <c r="AD174" s="1">
        <v>47</v>
      </c>
      <c r="AE174" s="1" t="s">
        <v>48</v>
      </c>
      <c r="AF174" s="1" t="s">
        <v>48</v>
      </c>
      <c r="AG174" s="1" t="s">
        <v>48</v>
      </c>
      <c r="AH174" s="1" t="s">
        <v>48</v>
      </c>
      <c r="AI174" s="1" t="s">
        <v>48</v>
      </c>
      <c r="AJ174" s="1">
        <v>12</v>
      </c>
      <c r="AK174" s="1" t="s">
        <v>1228</v>
      </c>
      <c r="AL174" s="1" t="s">
        <v>592</v>
      </c>
      <c r="AM174" s="1" t="s">
        <v>510</v>
      </c>
      <c r="AN174" s="1" t="s">
        <v>48</v>
      </c>
      <c r="AO174" s="1" t="s">
        <v>48</v>
      </c>
      <c r="AP174" s="1" t="s">
        <v>48</v>
      </c>
      <c r="AQ174" s="1" t="s">
        <v>48</v>
      </c>
      <c r="AR174" s="1" t="s">
        <v>10610</v>
      </c>
    </row>
    <row r="175" spans="1:44" x14ac:dyDescent="0.45">
      <c r="A175" s="1" t="s">
        <v>9197</v>
      </c>
      <c r="B175" s="1" t="s">
        <v>9380</v>
      </c>
      <c r="C175" s="1" t="s">
        <v>9199</v>
      </c>
      <c r="D175" s="1" t="s">
        <v>52</v>
      </c>
      <c r="E175" s="1" t="s">
        <v>585</v>
      </c>
      <c r="F175" s="1" t="s">
        <v>9200</v>
      </c>
      <c r="G175" s="1" t="s">
        <v>4402</v>
      </c>
      <c r="H175" s="1" t="s">
        <v>9201</v>
      </c>
      <c r="I175" s="1">
        <v>6</v>
      </c>
      <c r="J175" s="1">
        <v>0</v>
      </c>
      <c r="K175" s="1">
        <v>1</v>
      </c>
      <c r="L175" s="1">
        <v>1</v>
      </c>
      <c r="M175" s="1" t="s">
        <v>1805</v>
      </c>
      <c r="N175" s="1" t="s">
        <v>146</v>
      </c>
      <c r="O175" s="1" t="s">
        <v>1806</v>
      </c>
      <c r="P175" s="1" t="s">
        <v>8877</v>
      </c>
      <c r="Q175" s="1" t="s">
        <v>8878</v>
      </c>
      <c r="R175" s="1" t="s">
        <v>9202</v>
      </c>
      <c r="S175" s="1" t="s">
        <v>8880</v>
      </c>
      <c r="T175" s="1" t="s">
        <v>48</v>
      </c>
      <c r="U175" s="1" t="s">
        <v>48</v>
      </c>
      <c r="V175" s="1">
        <v>2021</v>
      </c>
      <c r="W175" s="1" t="s">
        <v>48</v>
      </c>
      <c r="X175" s="1" t="s">
        <v>48</v>
      </c>
      <c r="Y175" s="1" t="s">
        <v>48</v>
      </c>
      <c r="Z175" s="1" t="s">
        <v>48</v>
      </c>
      <c r="AA175" s="1" t="s">
        <v>48</v>
      </c>
      <c r="AB175" s="1" t="s">
        <v>48</v>
      </c>
      <c r="AC175" s="1">
        <v>48</v>
      </c>
      <c r="AD175" s="1">
        <v>65</v>
      </c>
      <c r="AE175" s="1" t="s">
        <v>48</v>
      </c>
      <c r="AF175" s="1" t="s">
        <v>48</v>
      </c>
      <c r="AG175" s="1" t="s">
        <v>48</v>
      </c>
      <c r="AH175" s="1" t="s">
        <v>48</v>
      </c>
      <c r="AI175" s="1" t="s">
        <v>48</v>
      </c>
      <c r="AJ175" s="1">
        <v>18</v>
      </c>
      <c r="AK175" s="1" t="s">
        <v>1228</v>
      </c>
      <c r="AL175" s="1" t="s">
        <v>592</v>
      </c>
      <c r="AM175" s="1" t="s">
        <v>510</v>
      </c>
      <c r="AN175" s="1" t="s">
        <v>48</v>
      </c>
      <c r="AO175" s="1" t="s">
        <v>48</v>
      </c>
      <c r="AP175" s="1" t="s">
        <v>48</v>
      </c>
      <c r="AQ175" s="1" t="s">
        <v>48</v>
      </c>
      <c r="AR175" s="1" t="s">
        <v>10610</v>
      </c>
    </row>
    <row r="176" spans="1:44" x14ac:dyDescent="0.45">
      <c r="A176" s="1" t="s">
        <v>9381</v>
      </c>
      <c r="B176" s="1" t="s">
        <v>9382</v>
      </c>
      <c r="C176" s="1" t="s">
        <v>9383</v>
      </c>
      <c r="D176" s="1" t="s">
        <v>52</v>
      </c>
      <c r="E176" s="1" t="s">
        <v>53</v>
      </c>
      <c r="F176" s="1" t="s">
        <v>9384</v>
      </c>
      <c r="G176" s="1" t="s">
        <v>3900</v>
      </c>
      <c r="H176" s="1" t="s">
        <v>9385</v>
      </c>
      <c r="I176" s="1">
        <v>75</v>
      </c>
      <c r="J176" s="1">
        <v>24</v>
      </c>
      <c r="K176" s="1">
        <v>0</v>
      </c>
      <c r="L176" s="1">
        <v>4</v>
      </c>
      <c r="M176" s="1" t="s">
        <v>530</v>
      </c>
      <c r="N176" s="1" t="s">
        <v>557</v>
      </c>
      <c r="O176" s="1" t="s">
        <v>558</v>
      </c>
      <c r="P176" s="1" t="s">
        <v>9386</v>
      </c>
      <c r="Q176" s="1" t="s">
        <v>48</v>
      </c>
      <c r="R176" s="1" t="s">
        <v>48</v>
      </c>
      <c r="S176" s="1" t="s">
        <v>9387</v>
      </c>
      <c r="T176" s="1" t="s">
        <v>9388</v>
      </c>
      <c r="U176" s="1" t="s">
        <v>10634</v>
      </c>
      <c r="V176" s="1">
        <v>2021</v>
      </c>
      <c r="W176" s="1">
        <v>18</v>
      </c>
      <c r="X176" s="1">
        <v>5</v>
      </c>
      <c r="Y176" s="1" t="s">
        <v>48</v>
      </c>
      <c r="Z176" s="1" t="s">
        <v>48</v>
      </c>
      <c r="AA176" s="1" t="s">
        <v>48</v>
      </c>
      <c r="AB176" s="1" t="s">
        <v>48</v>
      </c>
      <c r="AC176" s="1">
        <v>780</v>
      </c>
      <c r="AD176" s="1">
        <v>795</v>
      </c>
      <c r="AE176" s="1" t="s">
        <v>48</v>
      </c>
      <c r="AF176" s="1" t="s">
        <v>9389</v>
      </c>
      <c r="AG176" s="1" t="str">
        <f>HYPERLINK("http://dx.doi.org/10.1108/WJE-11-2020-0607","http://dx.doi.org/10.1108/WJE-11-2020-0607")</f>
        <v>http://dx.doi.org/10.1108/WJE-11-2020-0607</v>
      </c>
      <c r="AH176" s="1" t="s">
        <v>48</v>
      </c>
      <c r="AI176" s="1" t="s">
        <v>10613</v>
      </c>
      <c r="AJ176" s="1">
        <v>16</v>
      </c>
      <c r="AK176" s="1" t="s">
        <v>1732</v>
      </c>
      <c r="AL176" s="1" t="s">
        <v>124</v>
      </c>
      <c r="AM176" s="1" t="s">
        <v>1733</v>
      </c>
      <c r="AN176" s="1" t="s">
        <v>48</v>
      </c>
      <c r="AO176" s="1" t="s">
        <v>48</v>
      </c>
      <c r="AP176" s="1" t="s">
        <v>48</v>
      </c>
      <c r="AQ176" s="1" t="s">
        <v>48</v>
      </c>
      <c r="AR176" s="1" t="s">
        <v>10610</v>
      </c>
    </row>
    <row r="177" spans="1:44" x14ac:dyDescent="0.45">
      <c r="A177" s="1" t="s">
        <v>9390</v>
      </c>
      <c r="B177" s="1" t="s">
        <v>9391</v>
      </c>
      <c r="C177" s="1" t="s">
        <v>9392</v>
      </c>
      <c r="D177" s="1" t="s">
        <v>52</v>
      </c>
      <c r="E177" s="1" t="s">
        <v>53</v>
      </c>
      <c r="F177" s="1" t="s">
        <v>9393</v>
      </c>
      <c r="G177" s="1" t="s">
        <v>58</v>
      </c>
      <c r="H177" s="1" t="s">
        <v>9394</v>
      </c>
      <c r="I177" s="1">
        <v>41</v>
      </c>
      <c r="J177" s="1">
        <v>7</v>
      </c>
      <c r="K177" s="1">
        <v>1</v>
      </c>
      <c r="L177" s="1">
        <v>24</v>
      </c>
      <c r="M177" s="1" t="s">
        <v>145</v>
      </c>
      <c r="N177" s="1" t="s">
        <v>146</v>
      </c>
      <c r="O177" s="1" t="s">
        <v>147</v>
      </c>
      <c r="P177" s="1" t="s">
        <v>9395</v>
      </c>
      <c r="Q177" s="1" t="s">
        <v>9396</v>
      </c>
      <c r="R177" s="1" t="s">
        <v>48</v>
      </c>
      <c r="S177" s="1" t="s">
        <v>9397</v>
      </c>
      <c r="T177" s="1" t="s">
        <v>9398</v>
      </c>
      <c r="U177" s="1" t="s">
        <v>1766</v>
      </c>
      <c r="V177" s="1">
        <v>2021</v>
      </c>
      <c r="W177" s="1">
        <v>35</v>
      </c>
      <c r="X177" s="1">
        <v>6</v>
      </c>
      <c r="Y177" s="1" t="s">
        <v>48</v>
      </c>
      <c r="Z177" s="1" t="s">
        <v>48</v>
      </c>
      <c r="AA177" s="1" t="s">
        <v>1260</v>
      </c>
      <c r="AB177" s="1" t="s">
        <v>48</v>
      </c>
      <c r="AC177" s="1">
        <v>832</v>
      </c>
      <c r="AD177" s="1">
        <v>850</v>
      </c>
      <c r="AE177" s="1" t="s">
        <v>48</v>
      </c>
      <c r="AF177" s="1" t="s">
        <v>9399</v>
      </c>
      <c r="AG177" s="1" t="str">
        <f>HYPERLINK("http://dx.doi.org/10.1080/02692171.2021.1921712","http://dx.doi.org/10.1080/02692171.2021.1921712")</f>
        <v>http://dx.doi.org/10.1080/02692171.2021.1921712</v>
      </c>
      <c r="AH177" s="1" t="s">
        <v>48</v>
      </c>
      <c r="AI177" s="1" t="s">
        <v>10613</v>
      </c>
      <c r="AJ177" s="1">
        <v>19</v>
      </c>
      <c r="AK177" s="1" t="s">
        <v>509</v>
      </c>
      <c r="AL177" s="1" t="s">
        <v>124</v>
      </c>
      <c r="AM177" s="1" t="s">
        <v>510</v>
      </c>
      <c r="AN177" s="1" t="s">
        <v>48</v>
      </c>
      <c r="AO177" s="1" t="s">
        <v>48</v>
      </c>
      <c r="AP177" s="1" t="s">
        <v>48</v>
      </c>
      <c r="AQ177" s="1" t="s">
        <v>48</v>
      </c>
      <c r="AR177" s="1" t="s">
        <v>10610</v>
      </c>
    </row>
    <row r="178" spans="1:44" x14ac:dyDescent="0.45">
      <c r="A178" s="1" t="s">
        <v>9400</v>
      </c>
      <c r="B178" s="1" t="s">
        <v>9401</v>
      </c>
      <c r="C178" s="1" t="s">
        <v>1443</v>
      </c>
      <c r="D178" s="1" t="s">
        <v>52</v>
      </c>
      <c r="E178" s="1" t="s">
        <v>53</v>
      </c>
      <c r="F178" s="1" t="s">
        <v>9402</v>
      </c>
      <c r="G178" s="1" t="s">
        <v>3744</v>
      </c>
      <c r="H178" s="1" t="s">
        <v>9403</v>
      </c>
      <c r="I178" s="1">
        <v>56</v>
      </c>
      <c r="J178" s="1">
        <v>38</v>
      </c>
      <c r="K178" s="1">
        <v>0</v>
      </c>
      <c r="L178" s="1">
        <v>5</v>
      </c>
      <c r="M178" s="1" t="s">
        <v>79</v>
      </c>
      <c r="N178" s="1" t="s">
        <v>80</v>
      </c>
      <c r="O178" s="1" t="s">
        <v>81</v>
      </c>
      <c r="P178" s="1" t="s">
        <v>1446</v>
      </c>
      <c r="Q178" s="1" t="s">
        <v>48</v>
      </c>
      <c r="R178" s="1" t="s">
        <v>48</v>
      </c>
      <c r="S178" s="1" t="s">
        <v>1447</v>
      </c>
      <c r="T178" s="1" t="s">
        <v>1448</v>
      </c>
      <c r="U178" s="1" t="s">
        <v>962</v>
      </c>
      <c r="V178" s="1">
        <v>2021</v>
      </c>
      <c r="W178" s="1">
        <v>42</v>
      </c>
      <c r="X178" s="1" t="s">
        <v>48</v>
      </c>
      <c r="Y178" s="1" t="s">
        <v>48</v>
      </c>
      <c r="Z178" s="1" t="s">
        <v>48</v>
      </c>
      <c r="AA178" s="1" t="s">
        <v>48</v>
      </c>
      <c r="AB178" s="1" t="s">
        <v>48</v>
      </c>
      <c r="AC178" s="1" t="s">
        <v>48</v>
      </c>
      <c r="AD178" s="1" t="s">
        <v>48</v>
      </c>
      <c r="AE178" s="1">
        <v>101624</v>
      </c>
      <c r="AF178" s="1" t="s">
        <v>9404</v>
      </c>
      <c r="AG178" s="1" t="str">
        <f>HYPERLINK("http://dx.doi.org/10.1016/j.rsma.2021.101624","http://dx.doi.org/10.1016/j.rsma.2021.101624")</f>
        <v>http://dx.doi.org/10.1016/j.rsma.2021.101624</v>
      </c>
      <c r="AH178" s="1" t="s">
        <v>48</v>
      </c>
      <c r="AI178" s="1" t="s">
        <v>10619</v>
      </c>
      <c r="AJ178" s="1">
        <v>15</v>
      </c>
      <c r="AK178" s="1" t="s">
        <v>1450</v>
      </c>
      <c r="AL178" s="1" t="s">
        <v>67</v>
      </c>
      <c r="AM178" s="1" t="s">
        <v>1451</v>
      </c>
      <c r="AN178" s="1" t="s">
        <v>48</v>
      </c>
      <c r="AO178" s="1" t="s">
        <v>48</v>
      </c>
      <c r="AP178" s="1" t="s">
        <v>48</v>
      </c>
      <c r="AQ178" s="1" t="s">
        <v>48</v>
      </c>
      <c r="AR178" s="1" t="s">
        <v>10610</v>
      </c>
    </row>
    <row r="179" spans="1:44" x14ac:dyDescent="0.45">
      <c r="A179" s="1" t="s">
        <v>9424</v>
      </c>
      <c r="B179" s="1" t="s">
        <v>9425</v>
      </c>
      <c r="C179" s="1" t="s">
        <v>9426</v>
      </c>
      <c r="D179" s="1" t="s">
        <v>52</v>
      </c>
      <c r="E179" s="1" t="s">
        <v>53</v>
      </c>
      <c r="F179" s="1" t="s">
        <v>9427</v>
      </c>
      <c r="G179" s="1" t="s">
        <v>9428</v>
      </c>
      <c r="H179" s="1" t="s">
        <v>3811</v>
      </c>
      <c r="I179" s="1">
        <v>40</v>
      </c>
      <c r="J179" s="1">
        <v>12</v>
      </c>
      <c r="K179" s="1">
        <v>0</v>
      </c>
      <c r="L179" s="1">
        <v>3</v>
      </c>
      <c r="M179" s="1" t="s">
        <v>1242</v>
      </c>
      <c r="N179" s="1" t="s">
        <v>1243</v>
      </c>
      <c r="O179" s="1" t="s">
        <v>1244</v>
      </c>
      <c r="P179" s="1" t="s">
        <v>9429</v>
      </c>
      <c r="Q179" s="1" t="s">
        <v>9430</v>
      </c>
      <c r="R179" s="1" t="s">
        <v>48</v>
      </c>
      <c r="S179" s="1" t="s">
        <v>9431</v>
      </c>
      <c r="T179" s="1" t="s">
        <v>9432</v>
      </c>
      <c r="U179" s="1" t="s">
        <v>10635</v>
      </c>
      <c r="V179" s="1">
        <v>2022</v>
      </c>
      <c r="W179" s="1">
        <v>31</v>
      </c>
      <c r="X179" s="1">
        <v>5</v>
      </c>
      <c r="Y179" s="1" t="s">
        <v>48</v>
      </c>
      <c r="Z179" s="1" t="s">
        <v>48</v>
      </c>
      <c r="AA179" s="1" t="s">
        <v>48</v>
      </c>
      <c r="AB179" s="1" t="s">
        <v>48</v>
      </c>
      <c r="AC179" s="1">
        <v>527</v>
      </c>
      <c r="AD179" s="1">
        <v>543</v>
      </c>
      <c r="AE179" s="1" t="s">
        <v>48</v>
      </c>
      <c r="AF179" s="1" t="s">
        <v>9433</v>
      </c>
      <c r="AG179" s="1" t="str">
        <f>HYPERLINK("http://dx.doi.org/10.1080/19393555.2021.1956023","http://dx.doi.org/10.1080/19393555.2021.1956023")</f>
        <v>http://dx.doi.org/10.1080/19393555.2021.1956023</v>
      </c>
      <c r="AH179" s="1" t="s">
        <v>48</v>
      </c>
      <c r="AI179" s="1" t="s">
        <v>10612</v>
      </c>
      <c r="AJ179" s="1">
        <v>17</v>
      </c>
      <c r="AK179" s="1" t="s">
        <v>291</v>
      </c>
      <c r="AL179" s="1" t="s">
        <v>124</v>
      </c>
      <c r="AM179" s="1" t="s">
        <v>292</v>
      </c>
      <c r="AN179" s="1" t="s">
        <v>48</v>
      </c>
      <c r="AO179" s="1" t="s">
        <v>48</v>
      </c>
      <c r="AP179" s="1" t="s">
        <v>48</v>
      </c>
      <c r="AQ179" s="1" t="s">
        <v>48</v>
      </c>
      <c r="AR179" s="1" t="s">
        <v>10610</v>
      </c>
    </row>
    <row r="180" spans="1:44" x14ac:dyDescent="0.45">
      <c r="A180" s="1" t="s">
        <v>9434</v>
      </c>
      <c r="B180" s="1" t="s">
        <v>9435</v>
      </c>
      <c r="C180" s="1" t="s">
        <v>9436</v>
      </c>
      <c r="D180" s="1" t="s">
        <v>52</v>
      </c>
      <c r="E180" s="1" t="s">
        <v>53</v>
      </c>
      <c r="F180" s="1" t="s">
        <v>9437</v>
      </c>
      <c r="G180" s="1" t="s">
        <v>9438</v>
      </c>
      <c r="H180" s="1" t="s">
        <v>4226</v>
      </c>
      <c r="I180" s="1">
        <v>97</v>
      </c>
      <c r="J180" s="1">
        <v>14</v>
      </c>
      <c r="K180" s="1">
        <v>0</v>
      </c>
      <c r="L180" s="1">
        <v>1</v>
      </c>
      <c r="M180" s="1" t="s">
        <v>2283</v>
      </c>
      <c r="N180" s="1" t="s">
        <v>632</v>
      </c>
      <c r="O180" s="1" t="s">
        <v>2284</v>
      </c>
      <c r="P180" s="1" t="s">
        <v>9439</v>
      </c>
      <c r="Q180" s="1" t="s">
        <v>9440</v>
      </c>
      <c r="R180" s="1" t="s">
        <v>48</v>
      </c>
      <c r="S180" s="1" t="s">
        <v>9441</v>
      </c>
      <c r="T180" s="1" t="s">
        <v>9442</v>
      </c>
      <c r="U180" s="1" t="s">
        <v>973</v>
      </c>
      <c r="V180" s="1">
        <v>2021</v>
      </c>
      <c r="W180" s="1">
        <v>2021</v>
      </c>
      <c r="X180" s="1" t="s">
        <v>48</v>
      </c>
      <c r="Y180" s="1" t="s">
        <v>48</v>
      </c>
      <c r="Z180" s="1" t="s">
        <v>48</v>
      </c>
      <c r="AA180" s="1" t="s">
        <v>48</v>
      </c>
      <c r="AB180" s="1" t="s">
        <v>48</v>
      </c>
      <c r="AC180" s="1" t="s">
        <v>48</v>
      </c>
      <c r="AD180" s="1" t="s">
        <v>48</v>
      </c>
      <c r="AE180" s="1">
        <v>6658862</v>
      </c>
      <c r="AF180" s="1" t="s">
        <v>9443</v>
      </c>
      <c r="AG180" s="1" t="str">
        <f>HYPERLINK("http://dx.doi.org/10.1155/2021/6658862","http://dx.doi.org/10.1155/2021/6658862")</f>
        <v>http://dx.doi.org/10.1155/2021/6658862</v>
      </c>
      <c r="AH180" s="1" t="s">
        <v>48</v>
      </c>
      <c r="AI180" s="1" t="s">
        <v>48</v>
      </c>
      <c r="AJ180" s="1">
        <v>17</v>
      </c>
      <c r="AK180" s="1" t="s">
        <v>3673</v>
      </c>
      <c r="AL180" s="1" t="s">
        <v>67</v>
      </c>
      <c r="AM180" s="1" t="s">
        <v>670</v>
      </c>
      <c r="AN180" s="1" t="s">
        <v>48</v>
      </c>
      <c r="AO180" s="1" t="s">
        <v>125</v>
      </c>
      <c r="AP180" s="1" t="s">
        <v>48</v>
      </c>
      <c r="AQ180" s="1" t="s">
        <v>48</v>
      </c>
      <c r="AR180" s="1" t="s">
        <v>10610</v>
      </c>
    </row>
    <row r="181" spans="1:44" x14ac:dyDescent="0.45">
      <c r="A181" s="1" t="s">
        <v>9449</v>
      </c>
      <c r="B181" s="1" t="s">
        <v>9450</v>
      </c>
      <c r="C181" s="1" t="s">
        <v>538</v>
      </c>
      <c r="D181" s="1" t="s">
        <v>52</v>
      </c>
      <c r="E181" s="1" t="s">
        <v>53</v>
      </c>
      <c r="F181" s="1" t="s">
        <v>9451</v>
      </c>
      <c r="G181" s="1" t="s">
        <v>58</v>
      </c>
      <c r="H181" s="1" t="s">
        <v>9452</v>
      </c>
      <c r="I181" s="1">
        <v>32</v>
      </c>
      <c r="J181" s="1">
        <v>30</v>
      </c>
      <c r="K181" s="1">
        <v>0</v>
      </c>
      <c r="L181" s="1">
        <v>19</v>
      </c>
      <c r="M181" s="1" t="s">
        <v>503</v>
      </c>
      <c r="N181" s="1" t="s">
        <v>542</v>
      </c>
      <c r="O181" s="1" t="s">
        <v>543</v>
      </c>
      <c r="P181" s="1" t="s">
        <v>544</v>
      </c>
      <c r="Q181" s="1" t="s">
        <v>545</v>
      </c>
      <c r="R181" s="1" t="s">
        <v>48</v>
      </c>
      <c r="S181" s="1" t="s">
        <v>546</v>
      </c>
      <c r="T181" s="1" t="s">
        <v>547</v>
      </c>
      <c r="U181" s="1" t="s">
        <v>458</v>
      </c>
      <c r="V181" s="1">
        <v>2021</v>
      </c>
      <c r="W181" s="1">
        <v>54</v>
      </c>
      <c r="X181" s="1">
        <v>7</v>
      </c>
      <c r="Y181" s="1" t="s">
        <v>48</v>
      </c>
      <c r="Z181" s="1" t="s">
        <v>48</v>
      </c>
      <c r="AA181" s="1" t="s">
        <v>48</v>
      </c>
      <c r="AB181" s="1" t="s">
        <v>48</v>
      </c>
      <c r="AC181" s="1">
        <v>5255</v>
      </c>
      <c r="AD181" s="1">
        <v>5281</v>
      </c>
      <c r="AE181" s="1" t="s">
        <v>48</v>
      </c>
      <c r="AF181" s="1" t="s">
        <v>9453</v>
      </c>
      <c r="AG181" s="1" t="str">
        <f>HYPERLINK("http://dx.doi.org/10.1007/s10462-021-10020-4","http://dx.doi.org/10.1007/s10462-021-10020-4")</f>
        <v>http://dx.doi.org/10.1007/s10462-021-10020-4</v>
      </c>
      <c r="AH181" s="1" t="s">
        <v>48</v>
      </c>
      <c r="AI181" s="1" t="s">
        <v>10611</v>
      </c>
      <c r="AJ181" s="1">
        <v>27</v>
      </c>
      <c r="AK181" s="1" t="s">
        <v>549</v>
      </c>
      <c r="AL181" s="1" t="s">
        <v>67</v>
      </c>
      <c r="AM181" s="1" t="s">
        <v>292</v>
      </c>
      <c r="AN181" s="1" t="s">
        <v>48</v>
      </c>
      <c r="AO181" s="1" t="s">
        <v>48</v>
      </c>
      <c r="AP181" s="1" t="s">
        <v>48</v>
      </c>
      <c r="AQ181" s="1" t="s">
        <v>48</v>
      </c>
      <c r="AR181" s="1" t="s">
        <v>10610</v>
      </c>
    </row>
    <row r="182" spans="1:44" x14ac:dyDescent="0.45">
      <c r="A182" s="1" t="s">
        <v>9405</v>
      </c>
      <c r="B182" s="1" t="s">
        <v>9454</v>
      </c>
      <c r="C182" s="1" t="s">
        <v>9407</v>
      </c>
      <c r="D182" s="1" t="s">
        <v>52</v>
      </c>
      <c r="E182" s="1" t="s">
        <v>53</v>
      </c>
      <c r="F182" s="1" t="s">
        <v>9408</v>
      </c>
      <c r="G182" s="1" t="s">
        <v>5630</v>
      </c>
      <c r="H182" s="1" t="s">
        <v>3901</v>
      </c>
      <c r="I182" s="1">
        <v>71</v>
      </c>
      <c r="J182" s="1">
        <v>31</v>
      </c>
      <c r="K182" s="1">
        <v>0</v>
      </c>
      <c r="L182" s="1">
        <v>10</v>
      </c>
      <c r="M182" s="1" t="s">
        <v>266</v>
      </c>
      <c r="N182" s="1" t="s">
        <v>267</v>
      </c>
      <c r="O182" s="1" t="s">
        <v>268</v>
      </c>
      <c r="P182" s="1" t="s">
        <v>9409</v>
      </c>
      <c r="Q182" s="1" t="s">
        <v>9410</v>
      </c>
      <c r="R182" s="1" t="s">
        <v>48</v>
      </c>
      <c r="S182" s="1" t="s">
        <v>9411</v>
      </c>
      <c r="T182" s="1" t="s">
        <v>9412</v>
      </c>
      <c r="U182" s="1" t="s">
        <v>436</v>
      </c>
      <c r="V182" s="1">
        <v>2021</v>
      </c>
      <c r="W182" s="1">
        <v>137</v>
      </c>
      <c r="X182" s="1" t="s">
        <v>48</v>
      </c>
      <c r="Y182" s="1" t="s">
        <v>48</v>
      </c>
      <c r="Z182" s="1" t="s">
        <v>48</v>
      </c>
      <c r="AA182" s="1" t="s">
        <v>48</v>
      </c>
      <c r="AB182" s="1" t="s">
        <v>48</v>
      </c>
      <c r="AC182" s="1" t="s">
        <v>48</v>
      </c>
      <c r="AD182" s="1" t="s">
        <v>48</v>
      </c>
      <c r="AE182" s="1">
        <v>104192</v>
      </c>
      <c r="AF182" s="1" t="s">
        <v>9455</v>
      </c>
      <c r="AG182" s="1" t="str">
        <f>HYPERLINK("http://dx.doi.org/10.1016/j.mvr.2021.104192","http://dx.doi.org/10.1016/j.mvr.2021.104192")</f>
        <v>http://dx.doi.org/10.1016/j.mvr.2021.104192</v>
      </c>
      <c r="AH182" s="1" t="s">
        <v>48</v>
      </c>
      <c r="AI182" s="1" t="s">
        <v>10611</v>
      </c>
      <c r="AJ182" s="1">
        <v>17</v>
      </c>
      <c r="AK182" s="1" t="s">
        <v>9414</v>
      </c>
      <c r="AL182" s="1" t="s">
        <v>67</v>
      </c>
      <c r="AM182" s="1" t="s">
        <v>7610</v>
      </c>
      <c r="AN182" s="1">
        <v>34081994</v>
      </c>
      <c r="AO182" s="1" t="s">
        <v>48</v>
      </c>
      <c r="AP182" s="1" t="s">
        <v>48</v>
      </c>
      <c r="AQ182" s="1" t="s">
        <v>48</v>
      </c>
      <c r="AR182" s="1" t="s">
        <v>10610</v>
      </c>
    </row>
    <row r="183" spans="1:44" x14ac:dyDescent="0.45">
      <c r="A183" s="1" t="s">
        <v>9456</v>
      </c>
      <c r="B183" s="1" t="s">
        <v>9457</v>
      </c>
      <c r="C183" s="1" t="s">
        <v>4869</v>
      </c>
      <c r="D183" s="1" t="s">
        <v>52</v>
      </c>
      <c r="E183" s="1" t="s">
        <v>53</v>
      </c>
      <c r="F183" s="1" t="s">
        <v>9458</v>
      </c>
      <c r="G183" s="1" t="s">
        <v>3791</v>
      </c>
      <c r="H183" s="1" t="s">
        <v>9459</v>
      </c>
      <c r="I183" s="1">
        <v>71</v>
      </c>
      <c r="J183" s="1">
        <v>4</v>
      </c>
      <c r="K183" s="1">
        <v>0</v>
      </c>
      <c r="L183" s="1">
        <v>10</v>
      </c>
      <c r="M183" s="1" t="s">
        <v>448</v>
      </c>
      <c r="N183" s="1" t="s">
        <v>449</v>
      </c>
      <c r="O183" s="1" t="s">
        <v>450</v>
      </c>
      <c r="P183" s="1" t="s">
        <v>4872</v>
      </c>
      <c r="Q183" s="1" t="s">
        <v>4873</v>
      </c>
      <c r="R183" s="1" t="s">
        <v>48</v>
      </c>
      <c r="S183" s="1" t="s">
        <v>4874</v>
      </c>
      <c r="T183" s="1" t="s">
        <v>4875</v>
      </c>
      <c r="U183" s="1" t="s">
        <v>243</v>
      </c>
      <c r="V183" s="1">
        <v>2021</v>
      </c>
      <c r="W183" s="1">
        <v>130</v>
      </c>
      <c r="X183" s="1">
        <v>2</v>
      </c>
      <c r="Y183" s="1" t="s">
        <v>48</v>
      </c>
      <c r="Z183" s="1" t="s">
        <v>48</v>
      </c>
      <c r="AA183" s="1" t="s">
        <v>48</v>
      </c>
      <c r="AB183" s="1" t="s">
        <v>48</v>
      </c>
      <c r="AC183" s="1" t="s">
        <v>48</v>
      </c>
      <c r="AD183" s="1" t="s">
        <v>48</v>
      </c>
      <c r="AE183" s="1">
        <v>62</v>
      </c>
      <c r="AF183" s="1" t="s">
        <v>9460</v>
      </c>
      <c r="AG183" s="1" t="str">
        <f>HYPERLINK("http://dx.doi.org/10.1007/s12040-021-01554-w","http://dx.doi.org/10.1007/s12040-021-01554-w")</f>
        <v>http://dx.doi.org/10.1007/s12040-021-01554-w</v>
      </c>
      <c r="AH183" s="1" t="s">
        <v>48</v>
      </c>
      <c r="AI183" s="1" t="s">
        <v>48</v>
      </c>
      <c r="AJ183" s="1">
        <v>18</v>
      </c>
      <c r="AK183" s="1" t="s">
        <v>4877</v>
      </c>
      <c r="AL183" s="1" t="s">
        <v>67</v>
      </c>
      <c r="AM183" s="1" t="s">
        <v>4878</v>
      </c>
      <c r="AN183" s="1" t="s">
        <v>48</v>
      </c>
      <c r="AO183" s="1" t="s">
        <v>48</v>
      </c>
      <c r="AP183" s="1" t="s">
        <v>48</v>
      </c>
      <c r="AQ183" s="1" t="s">
        <v>48</v>
      </c>
      <c r="AR183" s="1" t="s">
        <v>10610</v>
      </c>
    </row>
    <row r="184" spans="1:44" x14ac:dyDescent="0.45">
      <c r="A184" s="1" t="s">
        <v>9461</v>
      </c>
      <c r="B184" s="1" t="s">
        <v>9462</v>
      </c>
      <c r="C184" s="1" t="s">
        <v>9463</v>
      </c>
      <c r="D184" s="1" t="s">
        <v>52</v>
      </c>
      <c r="E184" s="1" t="s">
        <v>53</v>
      </c>
      <c r="F184" s="1" t="s">
        <v>9464</v>
      </c>
      <c r="G184" s="1" t="s">
        <v>9428</v>
      </c>
      <c r="H184" s="1" t="s">
        <v>9465</v>
      </c>
      <c r="I184" s="1">
        <v>28</v>
      </c>
      <c r="J184" s="1">
        <v>15</v>
      </c>
      <c r="K184" s="1">
        <v>2</v>
      </c>
      <c r="L184" s="1">
        <v>9</v>
      </c>
      <c r="M184" s="1" t="s">
        <v>252</v>
      </c>
      <c r="N184" s="1" t="s">
        <v>253</v>
      </c>
      <c r="O184" s="1" t="s">
        <v>254</v>
      </c>
      <c r="P184" s="1" t="s">
        <v>9466</v>
      </c>
      <c r="Q184" s="1" t="s">
        <v>9467</v>
      </c>
      <c r="R184" s="1" t="s">
        <v>48</v>
      </c>
      <c r="S184" s="1" t="s">
        <v>9468</v>
      </c>
      <c r="T184" s="1" t="s">
        <v>9469</v>
      </c>
      <c r="U184" s="1" t="s">
        <v>320</v>
      </c>
      <c r="V184" s="1">
        <v>2021</v>
      </c>
      <c r="W184" s="1">
        <v>9</v>
      </c>
      <c r="X184" s="1">
        <v>1</v>
      </c>
      <c r="Y184" s="1" t="s">
        <v>48</v>
      </c>
      <c r="Z184" s="1" t="s">
        <v>48</v>
      </c>
      <c r="AA184" s="1" t="s">
        <v>48</v>
      </c>
      <c r="AB184" s="1" t="s">
        <v>48</v>
      </c>
      <c r="AC184" s="1">
        <v>131</v>
      </c>
      <c r="AD184" s="1">
        <v>149</v>
      </c>
      <c r="AE184" s="1" t="s">
        <v>48</v>
      </c>
      <c r="AF184" s="1" t="s">
        <v>9470</v>
      </c>
      <c r="AG184" s="1" t="str">
        <f>HYPERLINK("http://dx.doi.org/10.1007/s40305-018-0234-2","http://dx.doi.org/10.1007/s40305-018-0234-2")</f>
        <v>http://dx.doi.org/10.1007/s40305-018-0234-2</v>
      </c>
      <c r="AH184" s="1" t="s">
        <v>48</v>
      </c>
      <c r="AI184" s="1" t="s">
        <v>48</v>
      </c>
      <c r="AJ184" s="1">
        <v>19</v>
      </c>
      <c r="AK184" s="1" t="s">
        <v>580</v>
      </c>
      <c r="AL184" s="1" t="s">
        <v>124</v>
      </c>
      <c r="AM184" s="1" t="s">
        <v>580</v>
      </c>
      <c r="AN184" s="1" t="s">
        <v>48</v>
      </c>
      <c r="AO184" s="1" t="s">
        <v>48</v>
      </c>
      <c r="AP184" s="1" t="s">
        <v>48</v>
      </c>
      <c r="AQ184" s="1" t="s">
        <v>48</v>
      </c>
      <c r="AR184" s="1" t="s">
        <v>10610</v>
      </c>
    </row>
    <row r="185" spans="1:44" x14ac:dyDescent="0.45">
      <c r="A185" s="1" t="s">
        <v>9405</v>
      </c>
      <c r="B185" s="1" t="s">
        <v>9406</v>
      </c>
      <c r="C185" s="1" t="s">
        <v>9407</v>
      </c>
      <c r="D185" s="1" t="s">
        <v>52</v>
      </c>
      <c r="E185" s="1" t="s">
        <v>53</v>
      </c>
      <c r="F185" s="1" t="s">
        <v>9408</v>
      </c>
      <c r="G185" s="1" t="s">
        <v>5630</v>
      </c>
      <c r="H185" s="1" t="s">
        <v>3901</v>
      </c>
      <c r="I185" s="1">
        <v>66</v>
      </c>
      <c r="J185" s="1">
        <v>39</v>
      </c>
      <c r="K185" s="1">
        <v>0</v>
      </c>
      <c r="L185" s="1">
        <v>7</v>
      </c>
      <c r="M185" s="1" t="s">
        <v>266</v>
      </c>
      <c r="N185" s="1" t="s">
        <v>267</v>
      </c>
      <c r="O185" s="1" t="s">
        <v>268</v>
      </c>
      <c r="P185" s="1" t="s">
        <v>9409</v>
      </c>
      <c r="Q185" s="1" t="s">
        <v>9410</v>
      </c>
      <c r="R185" s="1" t="s">
        <v>48</v>
      </c>
      <c r="S185" s="1" t="s">
        <v>9411</v>
      </c>
      <c r="T185" s="1" t="s">
        <v>9412</v>
      </c>
      <c r="U185" s="1" t="s">
        <v>352</v>
      </c>
      <c r="V185" s="1">
        <v>2021</v>
      </c>
      <c r="W185" s="1">
        <v>138</v>
      </c>
      <c r="X185" s="1" t="s">
        <v>48</v>
      </c>
      <c r="Y185" s="1" t="s">
        <v>48</v>
      </c>
      <c r="Z185" s="1" t="s">
        <v>48</v>
      </c>
      <c r="AA185" s="1" t="s">
        <v>48</v>
      </c>
      <c r="AB185" s="1" t="s">
        <v>48</v>
      </c>
      <c r="AC185" s="1" t="s">
        <v>48</v>
      </c>
      <c r="AD185" s="1" t="s">
        <v>48</v>
      </c>
      <c r="AE185" s="1">
        <v>104191</v>
      </c>
      <c r="AF185" s="1" t="s">
        <v>9413</v>
      </c>
      <c r="AG185" s="1" t="str">
        <f>HYPERLINK("http://dx.doi.org/10.1016/j.mvr.2021.104191","http://dx.doi.org/10.1016/j.mvr.2021.104191")</f>
        <v>http://dx.doi.org/10.1016/j.mvr.2021.104191</v>
      </c>
      <c r="AH185" s="1" t="s">
        <v>48</v>
      </c>
      <c r="AI185" s="1" t="s">
        <v>10611</v>
      </c>
      <c r="AJ185" s="1">
        <v>17</v>
      </c>
      <c r="AK185" s="1" t="s">
        <v>9414</v>
      </c>
      <c r="AL185" s="1" t="s">
        <v>67</v>
      </c>
      <c r="AM185" s="1" t="s">
        <v>7610</v>
      </c>
      <c r="AN185" s="1">
        <v>34097918</v>
      </c>
      <c r="AO185" s="1" t="s">
        <v>48</v>
      </c>
      <c r="AP185" s="1" t="s">
        <v>48</v>
      </c>
      <c r="AQ185" s="1" t="s">
        <v>48</v>
      </c>
      <c r="AR185" s="1" t="s">
        <v>10610</v>
      </c>
    </row>
    <row r="186" spans="1:44" x14ac:dyDescent="0.45">
      <c r="A186" s="1" t="s">
        <v>9415</v>
      </c>
      <c r="B186" s="1" t="s">
        <v>9416</v>
      </c>
      <c r="C186" s="1" t="s">
        <v>1150</v>
      </c>
      <c r="D186" s="1" t="s">
        <v>52</v>
      </c>
      <c r="E186" s="1" t="s">
        <v>53</v>
      </c>
      <c r="F186" s="1" t="s">
        <v>9417</v>
      </c>
      <c r="G186" s="1" t="s">
        <v>58</v>
      </c>
      <c r="H186" s="1" t="s">
        <v>9418</v>
      </c>
      <c r="I186" s="1">
        <v>30</v>
      </c>
      <c r="J186" s="1">
        <v>0</v>
      </c>
      <c r="K186" s="1">
        <v>3</v>
      </c>
      <c r="L186" s="1">
        <v>4</v>
      </c>
      <c r="M186" s="1" t="s">
        <v>517</v>
      </c>
      <c r="N186" s="1" t="s">
        <v>239</v>
      </c>
      <c r="O186" s="1" t="s">
        <v>518</v>
      </c>
      <c r="P186" s="1" t="s">
        <v>1153</v>
      </c>
      <c r="Q186" s="1" t="s">
        <v>1154</v>
      </c>
      <c r="R186" s="1" t="s">
        <v>48</v>
      </c>
      <c r="S186" s="1" t="s">
        <v>1155</v>
      </c>
      <c r="T186" s="1" t="s">
        <v>1156</v>
      </c>
      <c r="U186" s="1" t="s">
        <v>436</v>
      </c>
      <c r="V186" s="1">
        <v>2021</v>
      </c>
      <c r="W186" s="1">
        <v>68</v>
      </c>
      <c r="X186" s="1">
        <v>3</v>
      </c>
      <c r="Y186" s="1" t="s">
        <v>48</v>
      </c>
      <c r="Z186" s="1" t="s">
        <v>48</v>
      </c>
      <c r="AA186" s="1" t="s">
        <v>48</v>
      </c>
      <c r="AB186" s="1" t="s">
        <v>48</v>
      </c>
      <c r="AC186" s="1">
        <v>238</v>
      </c>
      <c r="AD186" s="1">
        <v>257</v>
      </c>
      <c r="AE186" s="1" t="s">
        <v>48</v>
      </c>
      <c r="AF186" s="1" t="s">
        <v>9419</v>
      </c>
      <c r="AG186" s="1" t="str">
        <f>HYPERLINK("http://dx.doi.org/10.56042/alis.v68i3.44365","http://dx.doi.org/10.56042/alis.v68i3.44365")</f>
        <v>http://dx.doi.org/10.56042/alis.v68i3.44365</v>
      </c>
      <c r="AH186" s="1" t="s">
        <v>48</v>
      </c>
      <c r="AI186" s="1" t="s">
        <v>48</v>
      </c>
      <c r="AJ186" s="1">
        <v>20</v>
      </c>
      <c r="AK186" s="1" t="s">
        <v>1158</v>
      </c>
      <c r="AL186" s="1" t="s">
        <v>124</v>
      </c>
      <c r="AM186" s="1" t="s">
        <v>1158</v>
      </c>
      <c r="AN186" s="1" t="s">
        <v>48</v>
      </c>
      <c r="AO186" s="1" t="s">
        <v>125</v>
      </c>
      <c r="AP186" s="1" t="s">
        <v>48</v>
      </c>
      <c r="AQ186" s="1" t="s">
        <v>48</v>
      </c>
      <c r="AR186" s="1" t="s">
        <v>10610</v>
      </c>
    </row>
    <row r="187" spans="1:44" x14ac:dyDescent="0.45">
      <c r="A187" s="1" t="s">
        <v>9420</v>
      </c>
      <c r="B187" s="1" t="s">
        <v>9421</v>
      </c>
      <c r="C187" s="1" t="s">
        <v>9205</v>
      </c>
      <c r="D187" s="1" t="s">
        <v>52</v>
      </c>
      <c r="E187" s="1" t="s">
        <v>53</v>
      </c>
      <c r="F187" s="1" t="s">
        <v>9422</v>
      </c>
      <c r="G187" s="1" t="s">
        <v>3900</v>
      </c>
      <c r="H187" s="1" t="s">
        <v>3901</v>
      </c>
      <c r="I187" s="1">
        <v>60</v>
      </c>
      <c r="J187" s="1">
        <v>18</v>
      </c>
      <c r="K187" s="1">
        <v>0</v>
      </c>
      <c r="L187" s="1">
        <v>2</v>
      </c>
      <c r="M187" s="1" t="s">
        <v>503</v>
      </c>
      <c r="N187" s="1" t="s">
        <v>504</v>
      </c>
      <c r="O187" s="1" t="s">
        <v>505</v>
      </c>
      <c r="P187" s="1" t="s">
        <v>9207</v>
      </c>
      <c r="Q187" s="1" t="s">
        <v>9208</v>
      </c>
      <c r="R187" s="1" t="s">
        <v>48</v>
      </c>
      <c r="S187" s="1" t="s">
        <v>9205</v>
      </c>
      <c r="T187" s="1" t="s">
        <v>9209</v>
      </c>
      <c r="U187" s="1" t="s">
        <v>436</v>
      </c>
      <c r="V187" s="1">
        <v>2021</v>
      </c>
      <c r="W187" s="1">
        <v>11</v>
      </c>
      <c r="X187" s="1">
        <v>3</v>
      </c>
      <c r="Y187" s="1" t="s">
        <v>48</v>
      </c>
      <c r="Z187" s="1" t="s">
        <v>48</v>
      </c>
      <c r="AA187" s="1" t="s">
        <v>48</v>
      </c>
      <c r="AB187" s="1" t="s">
        <v>48</v>
      </c>
      <c r="AC187" s="1">
        <v>720</v>
      </c>
      <c r="AD187" s="1">
        <v>738</v>
      </c>
      <c r="AE187" s="1" t="s">
        <v>48</v>
      </c>
      <c r="AF187" s="1" t="s">
        <v>9423</v>
      </c>
      <c r="AG187" s="1" t="str">
        <f>HYPERLINK("http://dx.doi.org/10.1007/s12668-021-00881-y","http://dx.doi.org/10.1007/s12668-021-00881-y")</f>
        <v>http://dx.doi.org/10.1007/s12668-021-00881-y</v>
      </c>
      <c r="AH187" s="1" t="s">
        <v>48</v>
      </c>
      <c r="AI187" s="1" t="s">
        <v>10623</v>
      </c>
      <c r="AJ187" s="1">
        <v>19</v>
      </c>
      <c r="AK187" s="1" t="s">
        <v>9211</v>
      </c>
      <c r="AL187" s="1" t="s">
        <v>124</v>
      </c>
      <c r="AM187" s="1" t="s">
        <v>1877</v>
      </c>
      <c r="AN187" s="1" t="s">
        <v>48</v>
      </c>
      <c r="AO187" s="1" t="s">
        <v>48</v>
      </c>
      <c r="AP187" s="1" t="s">
        <v>48</v>
      </c>
      <c r="AQ187" s="1" t="s">
        <v>48</v>
      </c>
      <c r="AR187" s="1" t="s">
        <v>10610</v>
      </c>
    </row>
    <row r="188" spans="1:44" x14ac:dyDescent="0.45">
      <c r="A188" s="1" t="s">
        <v>9444</v>
      </c>
      <c r="B188" s="1" t="s">
        <v>9445</v>
      </c>
      <c r="C188" s="1" t="s">
        <v>9383</v>
      </c>
      <c r="D188" s="1" t="s">
        <v>52</v>
      </c>
      <c r="E188" s="1" t="s">
        <v>53</v>
      </c>
      <c r="F188" s="1" t="s">
        <v>9446</v>
      </c>
      <c r="G188" s="1" t="s">
        <v>3900</v>
      </c>
      <c r="H188" s="1" t="s">
        <v>9385</v>
      </c>
      <c r="I188" s="1">
        <v>89</v>
      </c>
      <c r="J188" s="1">
        <v>18</v>
      </c>
      <c r="K188" s="1">
        <v>0</v>
      </c>
      <c r="L188" s="1">
        <v>3</v>
      </c>
      <c r="M188" s="1" t="s">
        <v>530</v>
      </c>
      <c r="N188" s="1" t="s">
        <v>557</v>
      </c>
      <c r="O188" s="1" t="s">
        <v>558</v>
      </c>
      <c r="P188" s="1" t="s">
        <v>9386</v>
      </c>
      <c r="Q188" s="1" t="s">
        <v>48</v>
      </c>
      <c r="R188" s="1" t="s">
        <v>48</v>
      </c>
      <c r="S188" s="1" t="s">
        <v>9387</v>
      </c>
      <c r="T188" s="1" t="s">
        <v>9388</v>
      </c>
      <c r="U188" s="1" t="s">
        <v>10636</v>
      </c>
      <c r="V188" s="1">
        <v>2021</v>
      </c>
      <c r="W188" s="1">
        <v>18</v>
      </c>
      <c r="X188" s="1">
        <v>6</v>
      </c>
      <c r="Y188" s="1" t="s">
        <v>48</v>
      </c>
      <c r="Z188" s="1" t="s">
        <v>48</v>
      </c>
      <c r="AA188" s="1" t="s">
        <v>48</v>
      </c>
      <c r="AB188" s="1" t="s">
        <v>48</v>
      </c>
      <c r="AC188" s="1">
        <v>870</v>
      </c>
      <c r="AD188" s="1">
        <v>885</v>
      </c>
      <c r="AE188" s="1" t="s">
        <v>48</v>
      </c>
      <c r="AF188" s="1" t="s">
        <v>9447</v>
      </c>
      <c r="AG188" s="1" t="str">
        <f>HYPERLINK("http://dx.doi.org/10.1108/WJE-12-2020-0660","http://dx.doi.org/10.1108/WJE-12-2020-0660")</f>
        <v>http://dx.doi.org/10.1108/WJE-12-2020-0660</v>
      </c>
      <c r="AH188" s="1" t="s">
        <v>48</v>
      </c>
      <c r="AI188" s="1" t="s">
        <v>10613</v>
      </c>
      <c r="AJ188" s="1">
        <v>16</v>
      </c>
      <c r="AK188" s="1" t="s">
        <v>1732</v>
      </c>
      <c r="AL188" s="1" t="s">
        <v>124</v>
      </c>
      <c r="AM188" s="1" t="s">
        <v>1733</v>
      </c>
      <c r="AN188" s="1" t="s">
        <v>48</v>
      </c>
      <c r="AO188" s="1" t="s">
        <v>48</v>
      </c>
      <c r="AP188" s="1" t="s">
        <v>48</v>
      </c>
      <c r="AQ188" s="1" t="s">
        <v>48</v>
      </c>
      <c r="AR188" s="1" t="s">
        <v>10610</v>
      </c>
    </row>
    <row r="189" spans="1:44" x14ac:dyDescent="0.45">
      <c r="A189" s="1" t="s">
        <v>9197</v>
      </c>
      <c r="B189" s="1" t="s">
        <v>9448</v>
      </c>
      <c r="C189" s="1" t="s">
        <v>9199</v>
      </c>
      <c r="D189" s="1" t="s">
        <v>52</v>
      </c>
      <c r="E189" s="1" t="s">
        <v>585</v>
      </c>
      <c r="F189" s="1" t="s">
        <v>9200</v>
      </c>
      <c r="G189" s="1" t="s">
        <v>4402</v>
      </c>
      <c r="H189" s="1" t="s">
        <v>9201</v>
      </c>
      <c r="I189" s="1">
        <v>14</v>
      </c>
      <c r="J189" s="1">
        <v>1</v>
      </c>
      <c r="K189" s="1">
        <v>1</v>
      </c>
      <c r="L189" s="1">
        <v>1</v>
      </c>
      <c r="M189" s="1" t="s">
        <v>1805</v>
      </c>
      <c r="N189" s="1" t="s">
        <v>146</v>
      </c>
      <c r="O189" s="1" t="s">
        <v>1806</v>
      </c>
      <c r="P189" s="1" t="s">
        <v>8877</v>
      </c>
      <c r="Q189" s="1" t="s">
        <v>8878</v>
      </c>
      <c r="R189" s="1" t="s">
        <v>9202</v>
      </c>
      <c r="S189" s="1" t="s">
        <v>8880</v>
      </c>
      <c r="T189" s="1" t="s">
        <v>48</v>
      </c>
      <c r="U189" s="1" t="s">
        <v>48</v>
      </c>
      <c r="V189" s="1">
        <v>2021</v>
      </c>
      <c r="W189" s="1" t="s">
        <v>48</v>
      </c>
      <c r="X189" s="1" t="s">
        <v>48</v>
      </c>
      <c r="Y189" s="1" t="s">
        <v>48</v>
      </c>
      <c r="Z189" s="1" t="s">
        <v>48</v>
      </c>
      <c r="AA189" s="1" t="s">
        <v>48</v>
      </c>
      <c r="AB189" s="1" t="s">
        <v>48</v>
      </c>
      <c r="AC189" s="1">
        <v>12</v>
      </c>
      <c r="AD189" s="1">
        <v>21</v>
      </c>
      <c r="AE189" s="1" t="s">
        <v>48</v>
      </c>
      <c r="AF189" s="1" t="s">
        <v>48</v>
      </c>
      <c r="AG189" s="1" t="s">
        <v>48</v>
      </c>
      <c r="AH189" s="1" t="s">
        <v>48</v>
      </c>
      <c r="AI189" s="1" t="s">
        <v>48</v>
      </c>
      <c r="AJ189" s="1">
        <v>10</v>
      </c>
      <c r="AK189" s="1" t="s">
        <v>1228</v>
      </c>
      <c r="AL189" s="1" t="s">
        <v>592</v>
      </c>
      <c r="AM189" s="1" t="s">
        <v>510</v>
      </c>
      <c r="AN189" s="1" t="s">
        <v>48</v>
      </c>
      <c r="AO189" s="1" t="s">
        <v>48</v>
      </c>
      <c r="AP189" s="1" t="s">
        <v>48</v>
      </c>
      <c r="AQ189" s="1" t="s">
        <v>48</v>
      </c>
      <c r="AR189" s="1" t="s">
        <v>10610</v>
      </c>
    </row>
    <row r="190" spans="1:44" x14ac:dyDescent="0.45">
      <c r="A190" s="1" t="s">
        <v>9490</v>
      </c>
      <c r="B190" s="1" t="s">
        <v>9491</v>
      </c>
      <c r="C190" s="1" t="s">
        <v>9383</v>
      </c>
      <c r="D190" s="1" t="s">
        <v>52</v>
      </c>
      <c r="E190" s="1" t="s">
        <v>53</v>
      </c>
      <c r="F190" s="1" t="s">
        <v>9492</v>
      </c>
      <c r="G190" s="1" t="s">
        <v>3900</v>
      </c>
      <c r="H190" s="1" t="s">
        <v>9385</v>
      </c>
      <c r="I190" s="1">
        <v>41</v>
      </c>
      <c r="J190" s="1">
        <v>11</v>
      </c>
      <c r="K190" s="1">
        <v>0</v>
      </c>
      <c r="L190" s="1">
        <v>4</v>
      </c>
      <c r="M190" s="1" t="s">
        <v>530</v>
      </c>
      <c r="N190" s="1" t="s">
        <v>557</v>
      </c>
      <c r="O190" s="1" t="s">
        <v>558</v>
      </c>
      <c r="P190" s="1" t="s">
        <v>9386</v>
      </c>
      <c r="Q190" s="1" t="s">
        <v>48</v>
      </c>
      <c r="R190" s="1" t="s">
        <v>48</v>
      </c>
      <c r="S190" s="1" t="s">
        <v>9387</v>
      </c>
      <c r="T190" s="1" t="s">
        <v>9388</v>
      </c>
      <c r="U190" s="1" t="s">
        <v>10636</v>
      </c>
      <c r="V190" s="1">
        <v>2021</v>
      </c>
      <c r="W190" s="1">
        <v>18</v>
      </c>
      <c r="X190" s="1">
        <v>6</v>
      </c>
      <c r="Y190" s="1" t="s">
        <v>48</v>
      </c>
      <c r="Z190" s="1" t="s">
        <v>48</v>
      </c>
      <c r="AA190" s="1" t="s">
        <v>48</v>
      </c>
      <c r="AB190" s="1" t="s">
        <v>48</v>
      </c>
      <c r="AC190" s="1">
        <v>938</v>
      </c>
      <c r="AD190" s="1">
        <v>947</v>
      </c>
      <c r="AE190" s="1" t="s">
        <v>48</v>
      </c>
      <c r="AF190" s="1" t="s">
        <v>9493</v>
      </c>
      <c r="AG190" s="1" t="str">
        <f>HYPERLINK("http://dx.doi.org/10.1108/WJE-11-2020-0587","http://dx.doi.org/10.1108/WJE-11-2020-0587")</f>
        <v>http://dx.doi.org/10.1108/WJE-11-2020-0587</v>
      </c>
      <c r="AH190" s="1" t="s">
        <v>48</v>
      </c>
      <c r="AI190" s="1" t="s">
        <v>10611</v>
      </c>
      <c r="AJ190" s="1">
        <v>10</v>
      </c>
      <c r="AK190" s="1" t="s">
        <v>1732</v>
      </c>
      <c r="AL190" s="1" t="s">
        <v>124</v>
      </c>
      <c r="AM190" s="1" t="s">
        <v>1733</v>
      </c>
      <c r="AN190" s="1" t="s">
        <v>48</v>
      </c>
      <c r="AO190" s="1" t="s">
        <v>48</v>
      </c>
      <c r="AP190" s="1" t="s">
        <v>48</v>
      </c>
      <c r="AQ190" s="1" t="s">
        <v>48</v>
      </c>
      <c r="AR190" s="1" t="s">
        <v>10610</v>
      </c>
    </row>
    <row r="191" spans="1:44" x14ac:dyDescent="0.45">
      <c r="A191" s="1" t="s">
        <v>9197</v>
      </c>
      <c r="B191" s="1" t="s">
        <v>9494</v>
      </c>
      <c r="C191" s="1" t="s">
        <v>9199</v>
      </c>
      <c r="D191" s="1" t="s">
        <v>52</v>
      </c>
      <c r="E191" s="1" t="s">
        <v>585</v>
      </c>
      <c r="F191" s="1" t="s">
        <v>9200</v>
      </c>
      <c r="G191" s="1" t="s">
        <v>4402</v>
      </c>
      <c r="H191" s="1" t="s">
        <v>9201</v>
      </c>
      <c r="I191" s="1">
        <v>10</v>
      </c>
      <c r="J191" s="1">
        <v>0</v>
      </c>
      <c r="K191" s="1">
        <v>1</v>
      </c>
      <c r="L191" s="1">
        <v>1</v>
      </c>
      <c r="M191" s="1" t="s">
        <v>1805</v>
      </c>
      <c r="N191" s="1" t="s">
        <v>146</v>
      </c>
      <c r="O191" s="1" t="s">
        <v>1806</v>
      </c>
      <c r="P191" s="1" t="s">
        <v>8877</v>
      </c>
      <c r="Q191" s="1" t="s">
        <v>8878</v>
      </c>
      <c r="R191" s="1" t="s">
        <v>9202</v>
      </c>
      <c r="S191" s="1" t="s">
        <v>8880</v>
      </c>
      <c r="T191" s="1" t="s">
        <v>48</v>
      </c>
      <c r="U191" s="1" t="s">
        <v>48</v>
      </c>
      <c r="V191" s="1">
        <v>2021</v>
      </c>
      <c r="W191" s="1" t="s">
        <v>48</v>
      </c>
      <c r="X191" s="1" t="s">
        <v>48</v>
      </c>
      <c r="Y191" s="1" t="s">
        <v>48</v>
      </c>
      <c r="Z191" s="1" t="s">
        <v>48</v>
      </c>
      <c r="AA191" s="1" t="s">
        <v>48</v>
      </c>
      <c r="AB191" s="1" t="s">
        <v>48</v>
      </c>
      <c r="AC191" s="1">
        <v>1</v>
      </c>
      <c r="AD191" s="1">
        <v>11</v>
      </c>
      <c r="AE191" s="1" t="s">
        <v>48</v>
      </c>
      <c r="AF191" s="1" t="s">
        <v>48</v>
      </c>
      <c r="AG191" s="1" t="s">
        <v>48</v>
      </c>
      <c r="AH191" s="1" t="s">
        <v>48</v>
      </c>
      <c r="AI191" s="1" t="s">
        <v>48</v>
      </c>
      <c r="AJ191" s="1">
        <v>11</v>
      </c>
      <c r="AK191" s="1" t="s">
        <v>1228</v>
      </c>
      <c r="AL191" s="1" t="s">
        <v>592</v>
      </c>
      <c r="AM191" s="1" t="s">
        <v>510</v>
      </c>
      <c r="AN191" s="1" t="s">
        <v>48</v>
      </c>
      <c r="AO191" s="1" t="s">
        <v>48</v>
      </c>
      <c r="AP191" s="1" t="s">
        <v>48</v>
      </c>
      <c r="AQ191" s="1" t="s">
        <v>48</v>
      </c>
      <c r="AR191" s="1" t="s">
        <v>10610</v>
      </c>
    </row>
    <row r="192" spans="1:44" x14ac:dyDescent="0.45">
      <c r="A192" s="1" t="s">
        <v>9495</v>
      </c>
      <c r="B192" s="1" t="s">
        <v>9496</v>
      </c>
      <c r="C192" s="1" t="s">
        <v>683</v>
      </c>
      <c r="D192" s="1" t="s">
        <v>52</v>
      </c>
      <c r="E192" s="1" t="s">
        <v>53</v>
      </c>
      <c r="F192" s="1" t="s">
        <v>9497</v>
      </c>
      <c r="G192" s="1" t="s">
        <v>9428</v>
      </c>
      <c r="H192" s="1" t="s">
        <v>9498</v>
      </c>
      <c r="I192" s="1">
        <v>23</v>
      </c>
      <c r="J192" s="1">
        <v>11</v>
      </c>
      <c r="K192" s="1">
        <v>2</v>
      </c>
      <c r="L192" s="1">
        <v>9</v>
      </c>
      <c r="M192" s="1" t="s">
        <v>313</v>
      </c>
      <c r="N192" s="1" t="s">
        <v>314</v>
      </c>
      <c r="O192" s="1" t="s">
        <v>3288</v>
      </c>
      <c r="P192" s="1" t="s">
        <v>689</v>
      </c>
      <c r="Q192" s="1" t="s">
        <v>690</v>
      </c>
      <c r="R192" s="1" t="s">
        <v>48</v>
      </c>
      <c r="S192" s="1" t="s">
        <v>691</v>
      </c>
      <c r="T192" s="1" t="s">
        <v>692</v>
      </c>
      <c r="U192" s="1" t="s">
        <v>436</v>
      </c>
      <c r="V192" s="1">
        <v>2021</v>
      </c>
      <c r="W192" s="1">
        <v>11</v>
      </c>
      <c r="X192" s="1">
        <v>3</v>
      </c>
      <c r="Y192" s="1" t="s">
        <v>48</v>
      </c>
      <c r="Z192" s="1" t="s">
        <v>48</v>
      </c>
      <c r="AA192" s="1" t="s">
        <v>48</v>
      </c>
      <c r="AB192" s="1" t="s">
        <v>48</v>
      </c>
      <c r="AC192" s="1">
        <v>391</v>
      </c>
      <c r="AD192" s="1">
        <v>405</v>
      </c>
      <c r="AE192" s="1" t="s">
        <v>48</v>
      </c>
      <c r="AF192" s="1" t="s">
        <v>9499</v>
      </c>
      <c r="AG192" s="1" t="str">
        <f>HYPERLINK("http://dx.doi.org/10.3934/naco.2020033","http://dx.doi.org/10.3934/naco.2020033")</f>
        <v>http://dx.doi.org/10.3934/naco.2020033</v>
      </c>
      <c r="AH192" s="1" t="s">
        <v>48</v>
      </c>
      <c r="AI192" s="1" t="s">
        <v>48</v>
      </c>
      <c r="AJ192" s="1">
        <v>15</v>
      </c>
      <c r="AK192" s="1" t="s">
        <v>260</v>
      </c>
      <c r="AL192" s="1" t="s">
        <v>124</v>
      </c>
      <c r="AM192" s="1" t="s">
        <v>137</v>
      </c>
      <c r="AN192" s="1" t="s">
        <v>48</v>
      </c>
      <c r="AO192" s="1" t="s">
        <v>125</v>
      </c>
      <c r="AP192" s="1" t="s">
        <v>48</v>
      </c>
      <c r="AQ192" s="1" t="s">
        <v>48</v>
      </c>
      <c r="AR192" s="1" t="s">
        <v>10610</v>
      </c>
    </row>
    <row r="193" spans="1:44" x14ac:dyDescent="0.45">
      <c r="A193" s="1" t="s">
        <v>9515</v>
      </c>
      <c r="B193" s="1" t="s">
        <v>9516</v>
      </c>
      <c r="C193" s="1" t="s">
        <v>296</v>
      </c>
      <c r="D193" s="1" t="s">
        <v>52</v>
      </c>
      <c r="E193" s="1" t="s">
        <v>53</v>
      </c>
      <c r="F193" s="1" t="s">
        <v>9517</v>
      </c>
      <c r="G193" s="1" t="s">
        <v>2374</v>
      </c>
      <c r="H193" s="1" t="s">
        <v>9518</v>
      </c>
      <c r="I193" s="1">
        <v>40</v>
      </c>
      <c r="J193" s="1">
        <v>15</v>
      </c>
      <c r="K193" s="1">
        <v>2</v>
      </c>
      <c r="L193" s="1">
        <v>5</v>
      </c>
      <c r="M193" s="1" t="s">
        <v>198</v>
      </c>
      <c r="N193" s="1" t="s">
        <v>146</v>
      </c>
      <c r="O193" s="1" t="s">
        <v>199</v>
      </c>
      <c r="P193" s="1" t="s">
        <v>299</v>
      </c>
      <c r="Q193" s="1" t="s">
        <v>300</v>
      </c>
      <c r="R193" s="1" t="s">
        <v>48</v>
      </c>
      <c r="S193" s="1" t="s">
        <v>301</v>
      </c>
      <c r="T193" s="1" t="s">
        <v>302</v>
      </c>
      <c r="U193" s="1" t="s">
        <v>303</v>
      </c>
      <c r="V193" s="1">
        <v>2023</v>
      </c>
      <c r="W193" s="1">
        <v>10</v>
      </c>
      <c r="X193" s="1">
        <v>1</v>
      </c>
      <c r="Y193" s="1" t="s">
        <v>48</v>
      </c>
      <c r="Z193" s="1" t="s">
        <v>48</v>
      </c>
      <c r="AA193" s="1" t="s">
        <v>48</v>
      </c>
      <c r="AB193" s="1" t="s">
        <v>48</v>
      </c>
      <c r="AC193" s="1" t="s">
        <v>48</v>
      </c>
      <c r="AD193" s="1" t="s">
        <v>48</v>
      </c>
      <c r="AE193" s="1" t="s">
        <v>48</v>
      </c>
      <c r="AF193" s="1" t="s">
        <v>9519</v>
      </c>
      <c r="AG193" s="1" t="str">
        <f>HYPERLINK("http://dx.doi.org/10.1080/23302674.2021.1962427","http://dx.doi.org/10.1080/23302674.2021.1962427")</f>
        <v>http://dx.doi.org/10.1080/23302674.2021.1962427</v>
      </c>
      <c r="AH193" s="1" t="s">
        <v>48</v>
      </c>
      <c r="AI193" s="1" t="s">
        <v>10612</v>
      </c>
      <c r="AJ193" s="1">
        <v>21</v>
      </c>
      <c r="AK193" s="1" t="s">
        <v>305</v>
      </c>
      <c r="AL193" s="1" t="s">
        <v>67</v>
      </c>
      <c r="AM193" s="1" t="s">
        <v>306</v>
      </c>
      <c r="AN193" s="1" t="s">
        <v>48</v>
      </c>
      <c r="AO193" s="1" t="s">
        <v>48</v>
      </c>
      <c r="AP193" s="1" t="s">
        <v>48</v>
      </c>
      <c r="AQ193" s="1" t="s">
        <v>48</v>
      </c>
      <c r="AR193" s="1" t="s">
        <v>10610</v>
      </c>
    </row>
    <row r="194" spans="1:44" x14ac:dyDescent="0.45">
      <c r="A194" s="1" t="s">
        <v>9520</v>
      </c>
      <c r="B194" s="1" t="s">
        <v>9521</v>
      </c>
      <c r="C194" s="1" t="s">
        <v>7093</v>
      </c>
      <c r="D194" s="1" t="s">
        <v>52</v>
      </c>
      <c r="E194" s="1" t="s">
        <v>53</v>
      </c>
      <c r="F194" s="1" t="s">
        <v>9522</v>
      </c>
      <c r="G194" s="1" t="s">
        <v>4778</v>
      </c>
      <c r="H194" s="1" t="s">
        <v>9523</v>
      </c>
      <c r="I194" s="1">
        <v>12</v>
      </c>
      <c r="J194" s="1">
        <v>7</v>
      </c>
      <c r="K194" s="1">
        <v>2</v>
      </c>
      <c r="L194" s="1">
        <v>19</v>
      </c>
      <c r="M194" s="1" t="s">
        <v>198</v>
      </c>
      <c r="N194" s="1" t="s">
        <v>146</v>
      </c>
      <c r="O194" s="1" t="s">
        <v>199</v>
      </c>
      <c r="P194" s="1" t="s">
        <v>7100</v>
      </c>
      <c r="Q194" s="1" t="s">
        <v>7101</v>
      </c>
      <c r="R194" s="1" t="s">
        <v>48</v>
      </c>
      <c r="S194" s="1" t="s">
        <v>7102</v>
      </c>
      <c r="T194" s="1" t="s">
        <v>7103</v>
      </c>
      <c r="U194" s="1" t="s">
        <v>890</v>
      </c>
      <c r="V194" s="1">
        <v>2021</v>
      </c>
      <c r="W194" s="1">
        <v>35</v>
      </c>
      <c r="X194" s="1">
        <v>1</v>
      </c>
      <c r="Y194" s="1" t="s">
        <v>48</v>
      </c>
      <c r="Z194" s="1" t="s">
        <v>48</v>
      </c>
      <c r="AA194" s="1" t="s">
        <v>48</v>
      </c>
      <c r="AB194" s="1" t="s">
        <v>48</v>
      </c>
      <c r="AC194" s="1">
        <v>140</v>
      </c>
      <c r="AD194" s="1">
        <v>143</v>
      </c>
      <c r="AE194" s="1" t="s">
        <v>48</v>
      </c>
      <c r="AF194" s="1" t="s">
        <v>9524</v>
      </c>
      <c r="AG194" s="1" t="str">
        <f>HYPERLINK("http://dx.doi.org/10.1080/14786419.2019.1610959","http://dx.doi.org/10.1080/14786419.2019.1610959")</f>
        <v>http://dx.doi.org/10.1080/14786419.2019.1610959</v>
      </c>
      <c r="AH194" s="1" t="s">
        <v>48</v>
      </c>
      <c r="AI194" s="1" t="s">
        <v>48</v>
      </c>
      <c r="AJ194" s="1">
        <v>4</v>
      </c>
      <c r="AK194" s="1" t="s">
        <v>7105</v>
      </c>
      <c r="AL194" s="1" t="s">
        <v>67</v>
      </c>
      <c r="AM194" s="1" t="s">
        <v>7106</v>
      </c>
      <c r="AN194" s="1">
        <v>31184502</v>
      </c>
      <c r="AO194" s="1" t="s">
        <v>48</v>
      </c>
      <c r="AP194" s="1" t="s">
        <v>48</v>
      </c>
      <c r="AQ194" s="1" t="s">
        <v>48</v>
      </c>
      <c r="AR194" s="1" t="s">
        <v>10610</v>
      </c>
    </row>
    <row r="195" spans="1:44" x14ac:dyDescent="0.45">
      <c r="A195" s="1" t="s">
        <v>9500</v>
      </c>
      <c r="B195" s="1" t="s">
        <v>9501</v>
      </c>
      <c r="C195" s="1" t="s">
        <v>9205</v>
      </c>
      <c r="D195" s="1" t="s">
        <v>52</v>
      </c>
      <c r="E195" s="1" t="s">
        <v>53</v>
      </c>
      <c r="F195" s="1" t="s">
        <v>9502</v>
      </c>
      <c r="G195" s="1" t="s">
        <v>3900</v>
      </c>
      <c r="H195" s="1" t="s">
        <v>3901</v>
      </c>
      <c r="I195" s="1">
        <v>86</v>
      </c>
      <c r="J195" s="1">
        <v>51</v>
      </c>
      <c r="K195" s="1">
        <v>0</v>
      </c>
      <c r="L195" s="1">
        <v>3</v>
      </c>
      <c r="M195" s="1" t="s">
        <v>503</v>
      </c>
      <c r="N195" s="1" t="s">
        <v>504</v>
      </c>
      <c r="O195" s="1" t="s">
        <v>505</v>
      </c>
      <c r="P195" s="1" t="s">
        <v>9207</v>
      </c>
      <c r="Q195" s="1" t="s">
        <v>9208</v>
      </c>
      <c r="R195" s="1" t="s">
        <v>48</v>
      </c>
      <c r="S195" s="1" t="s">
        <v>9205</v>
      </c>
      <c r="T195" s="1" t="s">
        <v>9209</v>
      </c>
      <c r="U195" s="1" t="s">
        <v>436</v>
      </c>
      <c r="V195" s="1">
        <v>2021</v>
      </c>
      <c r="W195" s="1">
        <v>11</v>
      </c>
      <c r="X195" s="1">
        <v>3</v>
      </c>
      <c r="Y195" s="1" t="s">
        <v>48</v>
      </c>
      <c r="Z195" s="1" t="s">
        <v>48</v>
      </c>
      <c r="AA195" s="1" t="s">
        <v>48</v>
      </c>
      <c r="AB195" s="1" t="s">
        <v>48</v>
      </c>
      <c r="AC195" s="1">
        <v>770</v>
      </c>
      <c r="AD195" s="1">
        <v>792</v>
      </c>
      <c r="AE195" s="1" t="s">
        <v>48</v>
      </c>
      <c r="AF195" s="1" t="s">
        <v>9503</v>
      </c>
      <c r="AG195" s="1" t="str">
        <f>HYPERLINK("http://dx.doi.org/10.1007/s12668-021-00873-y","http://dx.doi.org/10.1007/s12668-021-00873-y")</f>
        <v>http://dx.doi.org/10.1007/s12668-021-00873-y</v>
      </c>
      <c r="AH195" s="1" t="s">
        <v>48</v>
      </c>
      <c r="AI195" s="1" t="s">
        <v>10613</v>
      </c>
      <c r="AJ195" s="1">
        <v>23</v>
      </c>
      <c r="AK195" s="1" t="s">
        <v>9211</v>
      </c>
      <c r="AL195" s="1" t="s">
        <v>124</v>
      </c>
      <c r="AM195" s="1" t="s">
        <v>1877</v>
      </c>
      <c r="AN195" s="1" t="s">
        <v>48</v>
      </c>
      <c r="AO195" s="1" t="s">
        <v>48</v>
      </c>
      <c r="AP195" s="1" t="s">
        <v>48</v>
      </c>
      <c r="AQ195" s="1" t="s">
        <v>48</v>
      </c>
      <c r="AR195" s="1" t="s">
        <v>10610</v>
      </c>
    </row>
    <row r="196" spans="1:44" x14ac:dyDescent="0.45">
      <c r="A196" s="1" t="s">
        <v>5129</v>
      </c>
      <c r="B196" s="1" t="s">
        <v>9504</v>
      </c>
      <c r="C196" s="1" t="s">
        <v>9505</v>
      </c>
      <c r="D196" s="1" t="s">
        <v>52</v>
      </c>
      <c r="E196" s="1" t="s">
        <v>53</v>
      </c>
      <c r="F196" s="1" t="s">
        <v>9506</v>
      </c>
      <c r="G196" s="1" t="s">
        <v>3475</v>
      </c>
      <c r="H196" s="1" t="s">
        <v>9507</v>
      </c>
      <c r="I196" s="1">
        <v>48</v>
      </c>
      <c r="J196" s="1">
        <v>6</v>
      </c>
      <c r="K196" s="1">
        <v>1</v>
      </c>
      <c r="L196" s="1">
        <v>38</v>
      </c>
      <c r="M196" s="1" t="s">
        <v>198</v>
      </c>
      <c r="N196" s="1" t="s">
        <v>146</v>
      </c>
      <c r="O196" s="1" t="s">
        <v>199</v>
      </c>
      <c r="P196" s="1" t="s">
        <v>9508</v>
      </c>
      <c r="Q196" s="1" t="s">
        <v>9509</v>
      </c>
      <c r="R196" s="1" t="s">
        <v>48</v>
      </c>
      <c r="S196" s="1" t="s">
        <v>9510</v>
      </c>
      <c r="T196" s="1" t="s">
        <v>9511</v>
      </c>
      <c r="U196" s="1" t="s">
        <v>890</v>
      </c>
      <c r="V196" s="1">
        <v>2021</v>
      </c>
      <c r="W196" s="1">
        <v>213</v>
      </c>
      <c r="X196" s="1">
        <v>1</v>
      </c>
      <c r="Y196" s="1" t="s">
        <v>48</v>
      </c>
      <c r="Z196" s="1" t="s">
        <v>48</v>
      </c>
      <c r="AA196" s="1" t="s">
        <v>48</v>
      </c>
      <c r="AB196" s="1" t="s">
        <v>48</v>
      </c>
      <c r="AC196" s="1">
        <v>75</v>
      </c>
      <c r="AD196" s="1">
        <v>92</v>
      </c>
      <c r="AE196" s="1" t="s">
        <v>48</v>
      </c>
      <c r="AF196" s="1" t="s">
        <v>9512</v>
      </c>
      <c r="AG196" s="1" t="str">
        <f>HYPERLINK("http://dx.doi.org/10.1080/10584587.2020.1859826","http://dx.doi.org/10.1080/10584587.2020.1859826")</f>
        <v>http://dx.doi.org/10.1080/10584587.2020.1859826</v>
      </c>
      <c r="AH196" s="1" t="s">
        <v>48</v>
      </c>
      <c r="AI196" s="1" t="s">
        <v>48</v>
      </c>
      <c r="AJ196" s="1">
        <v>18</v>
      </c>
      <c r="AK196" s="1" t="s">
        <v>9513</v>
      </c>
      <c r="AL196" s="1" t="s">
        <v>67</v>
      </c>
      <c r="AM196" s="1" t="s">
        <v>9514</v>
      </c>
      <c r="AN196" s="1" t="s">
        <v>48</v>
      </c>
      <c r="AO196" s="1" t="s">
        <v>48</v>
      </c>
      <c r="AP196" s="1" t="s">
        <v>48</v>
      </c>
      <c r="AQ196" s="1" t="s">
        <v>48</v>
      </c>
      <c r="AR196" s="1" t="s">
        <v>10610</v>
      </c>
    </row>
    <row r="197" spans="1:44" x14ac:dyDescent="0.45">
      <c r="A197" s="1" t="s">
        <v>9529</v>
      </c>
      <c r="B197" s="1" t="s">
        <v>9530</v>
      </c>
      <c r="C197" s="1" t="s">
        <v>9531</v>
      </c>
      <c r="D197" s="1" t="s">
        <v>52</v>
      </c>
      <c r="E197" s="1" t="s">
        <v>53</v>
      </c>
      <c r="F197" s="1" t="s">
        <v>9532</v>
      </c>
      <c r="G197" s="1" t="s">
        <v>3499</v>
      </c>
      <c r="H197" s="1" t="s">
        <v>4871</v>
      </c>
      <c r="I197" s="1">
        <v>75</v>
      </c>
      <c r="J197" s="1">
        <v>6</v>
      </c>
      <c r="K197" s="1">
        <v>2</v>
      </c>
      <c r="L197" s="1">
        <v>27</v>
      </c>
      <c r="M197" s="1" t="s">
        <v>60</v>
      </c>
      <c r="N197" s="1" t="s">
        <v>158</v>
      </c>
      <c r="O197" s="1" t="s">
        <v>159</v>
      </c>
      <c r="P197" s="1" t="s">
        <v>9533</v>
      </c>
      <c r="Q197" s="1" t="s">
        <v>9534</v>
      </c>
      <c r="R197" s="1" t="s">
        <v>48</v>
      </c>
      <c r="S197" s="1" t="s">
        <v>9531</v>
      </c>
      <c r="T197" s="1" t="s">
        <v>9535</v>
      </c>
      <c r="U197" s="1" t="s">
        <v>962</v>
      </c>
      <c r="V197" s="1">
        <v>2021</v>
      </c>
      <c r="W197" s="1">
        <v>171</v>
      </c>
      <c r="X197" s="1" t="s">
        <v>48</v>
      </c>
      <c r="Y197" s="1" t="s">
        <v>48</v>
      </c>
      <c r="Z197" s="1" t="s">
        <v>48</v>
      </c>
      <c r="AA197" s="1" t="s">
        <v>48</v>
      </c>
      <c r="AB197" s="1" t="s">
        <v>48</v>
      </c>
      <c r="AC197" s="1" t="s">
        <v>48</v>
      </c>
      <c r="AD197" s="1" t="s">
        <v>48</v>
      </c>
      <c r="AE197" s="1">
        <v>108758</v>
      </c>
      <c r="AF197" s="1" t="s">
        <v>9536</v>
      </c>
      <c r="AG197" s="1" t="str">
        <f>HYPERLINK("http://dx.doi.org/10.1016/j.measurement.2020.108758","http://dx.doi.org/10.1016/j.measurement.2020.108758")</f>
        <v>http://dx.doi.org/10.1016/j.measurement.2020.108758</v>
      </c>
      <c r="AH197" s="1" t="s">
        <v>48</v>
      </c>
      <c r="AI197" s="1" t="s">
        <v>48</v>
      </c>
      <c r="AJ197" s="1">
        <v>17</v>
      </c>
      <c r="AK197" s="1" t="s">
        <v>9537</v>
      </c>
      <c r="AL197" s="1" t="s">
        <v>67</v>
      </c>
      <c r="AM197" s="1" t="s">
        <v>9538</v>
      </c>
      <c r="AN197" s="1" t="s">
        <v>48</v>
      </c>
      <c r="AO197" s="1" t="s">
        <v>48</v>
      </c>
      <c r="AP197" s="1" t="s">
        <v>48</v>
      </c>
      <c r="AQ197" s="1" t="s">
        <v>48</v>
      </c>
      <c r="AR197" s="1" t="s">
        <v>10610</v>
      </c>
    </row>
    <row r="198" spans="1:44" x14ac:dyDescent="0.45">
      <c r="A198" s="1" t="s">
        <v>5382</v>
      </c>
      <c r="B198" s="1" t="s">
        <v>9539</v>
      </c>
      <c r="C198" s="1" t="s">
        <v>9540</v>
      </c>
      <c r="D198" s="1" t="s">
        <v>52</v>
      </c>
      <c r="E198" s="1" t="s">
        <v>53</v>
      </c>
      <c r="F198" s="1" t="s">
        <v>9541</v>
      </c>
      <c r="G198" s="1" t="s">
        <v>3582</v>
      </c>
      <c r="H198" s="1" t="s">
        <v>1902</v>
      </c>
      <c r="I198" s="1">
        <v>26</v>
      </c>
      <c r="J198" s="1">
        <v>0</v>
      </c>
      <c r="K198" s="1">
        <v>0</v>
      </c>
      <c r="L198" s="1">
        <v>2</v>
      </c>
      <c r="M198" s="1" t="s">
        <v>145</v>
      </c>
      <c r="N198" s="1" t="s">
        <v>146</v>
      </c>
      <c r="O198" s="1" t="s">
        <v>147</v>
      </c>
      <c r="P198" s="1" t="s">
        <v>9542</v>
      </c>
      <c r="Q198" s="1" t="s">
        <v>9543</v>
      </c>
      <c r="R198" s="1" t="s">
        <v>48</v>
      </c>
      <c r="S198" s="1" t="s">
        <v>9544</v>
      </c>
      <c r="T198" s="1" t="s">
        <v>9545</v>
      </c>
      <c r="U198" s="1" t="s">
        <v>10624</v>
      </c>
      <c r="V198" s="1">
        <v>2021</v>
      </c>
      <c r="W198" s="1">
        <v>31</v>
      </c>
      <c r="X198" s="1">
        <v>6</v>
      </c>
      <c r="Y198" s="1" t="s">
        <v>48</v>
      </c>
      <c r="Z198" s="1" t="s">
        <v>48</v>
      </c>
      <c r="AA198" s="1" t="s">
        <v>48</v>
      </c>
      <c r="AB198" s="1" t="s">
        <v>48</v>
      </c>
      <c r="AC198" s="1">
        <v>764</v>
      </c>
      <c r="AD198" s="1">
        <v>780</v>
      </c>
      <c r="AE198" s="1" t="s">
        <v>48</v>
      </c>
      <c r="AF198" s="1" t="s">
        <v>9546</v>
      </c>
      <c r="AG198" s="1" t="str">
        <f>HYPERLINK("http://dx.doi.org/10.1080/09614524.2021.1911944","http://dx.doi.org/10.1080/09614524.2021.1911944")</f>
        <v>http://dx.doi.org/10.1080/09614524.2021.1911944</v>
      </c>
      <c r="AH198" s="1" t="s">
        <v>48</v>
      </c>
      <c r="AI198" s="1" t="s">
        <v>10613</v>
      </c>
      <c r="AJ198" s="1">
        <v>17</v>
      </c>
      <c r="AK198" s="1" t="s">
        <v>105</v>
      </c>
      <c r="AL198" s="1" t="s">
        <v>124</v>
      </c>
      <c r="AM198" s="1" t="s">
        <v>105</v>
      </c>
      <c r="AN198" s="1" t="s">
        <v>48</v>
      </c>
      <c r="AO198" s="1" t="s">
        <v>48</v>
      </c>
      <c r="AP198" s="1" t="s">
        <v>48</v>
      </c>
      <c r="AQ198" s="1" t="s">
        <v>48</v>
      </c>
      <c r="AR198" s="1" t="s">
        <v>10610</v>
      </c>
    </row>
    <row r="199" spans="1:44" x14ac:dyDescent="0.45">
      <c r="A199" s="1" t="s">
        <v>9547</v>
      </c>
      <c r="B199" s="1" t="s">
        <v>9548</v>
      </c>
      <c r="C199" s="1" t="s">
        <v>1150</v>
      </c>
      <c r="D199" s="1" t="s">
        <v>52</v>
      </c>
      <c r="E199" s="1" t="s">
        <v>53</v>
      </c>
      <c r="F199" s="1" t="s">
        <v>9549</v>
      </c>
      <c r="G199" s="1" t="s">
        <v>9550</v>
      </c>
      <c r="H199" s="1" t="s">
        <v>9551</v>
      </c>
      <c r="I199" s="1">
        <v>31</v>
      </c>
      <c r="J199" s="1">
        <v>0</v>
      </c>
      <c r="K199" s="1">
        <v>3</v>
      </c>
      <c r="L199" s="1">
        <v>7</v>
      </c>
      <c r="M199" s="1" t="s">
        <v>517</v>
      </c>
      <c r="N199" s="1" t="s">
        <v>239</v>
      </c>
      <c r="O199" s="1" t="s">
        <v>518</v>
      </c>
      <c r="P199" s="1" t="s">
        <v>1153</v>
      </c>
      <c r="Q199" s="1" t="s">
        <v>1154</v>
      </c>
      <c r="R199" s="1" t="s">
        <v>48</v>
      </c>
      <c r="S199" s="1" t="s">
        <v>1155</v>
      </c>
      <c r="T199" s="1" t="s">
        <v>1156</v>
      </c>
      <c r="U199" s="1" t="s">
        <v>320</v>
      </c>
      <c r="V199" s="1">
        <v>2021</v>
      </c>
      <c r="W199" s="1">
        <v>68</v>
      </c>
      <c r="X199" s="1">
        <v>1</v>
      </c>
      <c r="Y199" s="1" t="s">
        <v>48</v>
      </c>
      <c r="Z199" s="1" t="s">
        <v>48</v>
      </c>
      <c r="AA199" s="1" t="s">
        <v>48</v>
      </c>
      <c r="AB199" s="1" t="s">
        <v>48</v>
      </c>
      <c r="AC199" s="1">
        <v>47</v>
      </c>
      <c r="AD199" s="1">
        <v>55</v>
      </c>
      <c r="AE199" s="1" t="s">
        <v>48</v>
      </c>
      <c r="AF199" s="1" t="s">
        <v>9552</v>
      </c>
      <c r="AG199" s="1" t="str">
        <f>HYPERLINK("http://dx.doi.org/10.56042/alis.v68i1.37510","http://dx.doi.org/10.56042/alis.v68i1.37510")</f>
        <v>http://dx.doi.org/10.56042/alis.v68i1.37510</v>
      </c>
      <c r="AH199" s="1" t="s">
        <v>48</v>
      </c>
      <c r="AI199" s="1" t="s">
        <v>48</v>
      </c>
      <c r="AJ199" s="1">
        <v>9</v>
      </c>
      <c r="AK199" s="1" t="s">
        <v>1158</v>
      </c>
      <c r="AL199" s="1" t="s">
        <v>124</v>
      </c>
      <c r="AM199" s="1" t="s">
        <v>1158</v>
      </c>
      <c r="AN199" s="1" t="s">
        <v>48</v>
      </c>
      <c r="AO199" s="1" t="s">
        <v>125</v>
      </c>
      <c r="AP199" s="1" t="s">
        <v>48</v>
      </c>
      <c r="AQ199" s="1" t="s">
        <v>48</v>
      </c>
      <c r="AR199" s="1" t="s">
        <v>10610</v>
      </c>
    </row>
    <row r="200" spans="1:44" x14ac:dyDescent="0.45">
      <c r="A200" s="1" t="s">
        <v>5129</v>
      </c>
      <c r="B200" s="1" t="s">
        <v>9567</v>
      </c>
      <c r="C200" s="1" t="s">
        <v>4835</v>
      </c>
      <c r="D200" s="1" t="s">
        <v>52</v>
      </c>
      <c r="E200" s="1" t="s">
        <v>53</v>
      </c>
      <c r="F200" s="1" t="s">
        <v>9568</v>
      </c>
      <c r="G200" s="1" t="s">
        <v>3475</v>
      </c>
      <c r="H200" s="1" t="s">
        <v>9569</v>
      </c>
      <c r="I200" s="1">
        <v>59</v>
      </c>
      <c r="J200" s="1">
        <v>41</v>
      </c>
      <c r="K200" s="1">
        <v>2</v>
      </c>
      <c r="L200" s="1">
        <v>114</v>
      </c>
      <c r="M200" s="1" t="s">
        <v>3024</v>
      </c>
      <c r="N200" s="1" t="s">
        <v>422</v>
      </c>
      <c r="O200" s="1" t="s">
        <v>3025</v>
      </c>
      <c r="P200" s="1" t="s">
        <v>4838</v>
      </c>
      <c r="Q200" s="1" t="s">
        <v>4839</v>
      </c>
      <c r="R200" s="1" t="s">
        <v>48</v>
      </c>
      <c r="S200" s="1" t="s">
        <v>4840</v>
      </c>
      <c r="T200" s="1" t="s">
        <v>4841</v>
      </c>
      <c r="U200" s="1" t="s">
        <v>10637</v>
      </c>
      <c r="V200" s="1">
        <v>2021</v>
      </c>
      <c r="W200" s="1">
        <v>861</v>
      </c>
      <c r="X200" s="1" t="s">
        <v>48</v>
      </c>
      <c r="Y200" s="1" t="s">
        <v>48</v>
      </c>
      <c r="Z200" s="1" t="s">
        <v>48</v>
      </c>
      <c r="AA200" s="1" t="s">
        <v>48</v>
      </c>
      <c r="AB200" s="1" t="s">
        <v>48</v>
      </c>
      <c r="AC200" s="1" t="s">
        <v>48</v>
      </c>
      <c r="AD200" s="1" t="s">
        <v>48</v>
      </c>
      <c r="AE200" s="1">
        <v>157960</v>
      </c>
      <c r="AF200" s="1" t="s">
        <v>9570</v>
      </c>
      <c r="AG200" s="1" t="str">
        <f>HYPERLINK("http://dx.doi.org/10.1016/j.jallcom.2020.157960","http://dx.doi.org/10.1016/j.jallcom.2020.157960")</f>
        <v>http://dx.doi.org/10.1016/j.jallcom.2020.157960</v>
      </c>
      <c r="AH200" s="1" t="s">
        <v>48</v>
      </c>
      <c r="AI200" s="1" t="s">
        <v>10617</v>
      </c>
      <c r="AJ200" s="1">
        <v>15</v>
      </c>
      <c r="AK200" s="1" t="s">
        <v>4843</v>
      </c>
      <c r="AL200" s="1" t="s">
        <v>67</v>
      </c>
      <c r="AM200" s="1" t="s">
        <v>4844</v>
      </c>
      <c r="AN200" s="1" t="s">
        <v>48</v>
      </c>
      <c r="AO200" s="1" t="s">
        <v>48</v>
      </c>
      <c r="AP200" s="1" t="s">
        <v>48</v>
      </c>
      <c r="AQ200" s="1" t="s">
        <v>48</v>
      </c>
      <c r="AR200" s="1" t="s">
        <v>10610</v>
      </c>
    </row>
    <row r="201" spans="1:44" x14ac:dyDescent="0.45">
      <c r="A201" s="1" t="s">
        <v>9525</v>
      </c>
      <c r="B201" s="1" t="s">
        <v>9526</v>
      </c>
      <c r="C201" s="1" t="s">
        <v>379</v>
      </c>
      <c r="D201" s="1" t="s">
        <v>52</v>
      </c>
      <c r="E201" s="1" t="s">
        <v>53</v>
      </c>
      <c r="F201" s="1" t="s">
        <v>9527</v>
      </c>
      <c r="G201" s="1" t="s">
        <v>4821</v>
      </c>
      <c r="H201" s="1" t="s">
        <v>4822</v>
      </c>
      <c r="I201" s="1">
        <v>56</v>
      </c>
      <c r="J201" s="1">
        <v>14</v>
      </c>
      <c r="K201" s="1">
        <v>2</v>
      </c>
      <c r="L201" s="1">
        <v>28</v>
      </c>
      <c r="M201" s="1" t="s">
        <v>215</v>
      </c>
      <c r="N201" s="1" t="s">
        <v>158</v>
      </c>
      <c r="O201" s="1" t="s">
        <v>216</v>
      </c>
      <c r="P201" s="1" t="s">
        <v>382</v>
      </c>
      <c r="Q201" s="1" t="s">
        <v>383</v>
      </c>
      <c r="R201" s="1" t="s">
        <v>48</v>
      </c>
      <c r="S201" s="1" t="s">
        <v>384</v>
      </c>
      <c r="T201" s="1" t="s">
        <v>385</v>
      </c>
      <c r="U201" s="1" t="s">
        <v>243</v>
      </c>
      <c r="V201" s="1">
        <v>2021</v>
      </c>
      <c r="W201" s="1">
        <v>156</v>
      </c>
      <c r="X201" s="1" t="s">
        <v>48</v>
      </c>
      <c r="Y201" s="1" t="s">
        <v>48</v>
      </c>
      <c r="Z201" s="1" t="s">
        <v>48</v>
      </c>
      <c r="AA201" s="1" t="s">
        <v>48</v>
      </c>
      <c r="AB201" s="1" t="s">
        <v>48</v>
      </c>
      <c r="AC201" s="1" t="s">
        <v>48</v>
      </c>
      <c r="AD201" s="1" t="s">
        <v>48</v>
      </c>
      <c r="AE201" s="1">
        <v>107184</v>
      </c>
      <c r="AF201" s="1" t="s">
        <v>9528</v>
      </c>
      <c r="AG201" s="1" t="str">
        <f>HYPERLINK("http://dx.doi.org/10.1016/j.cie.2021.107184","http://dx.doi.org/10.1016/j.cie.2021.107184")</f>
        <v>http://dx.doi.org/10.1016/j.cie.2021.107184</v>
      </c>
      <c r="AH201" s="1" t="s">
        <v>48</v>
      </c>
      <c r="AI201" s="1" t="s">
        <v>10621</v>
      </c>
      <c r="AJ201" s="1">
        <v>27</v>
      </c>
      <c r="AK201" s="1" t="s">
        <v>388</v>
      </c>
      <c r="AL201" s="1" t="s">
        <v>944</v>
      </c>
      <c r="AM201" s="1" t="s">
        <v>389</v>
      </c>
      <c r="AN201" s="1" t="s">
        <v>48</v>
      </c>
      <c r="AO201" s="1" t="s">
        <v>48</v>
      </c>
      <c r="AP201" s="1" t="s">
        <v>48</v>
      </c>
      <c r="AQ201" s="1" t="s">
        <v>48</v>
      </c>
      <c r="AR201" s="1" t="s">
        <v>10610</v>
      </c>
    </row>
    <row r="202" spans="1:44" x14ac:dyDescent="0.45">
      <c r="A202" s="1" t="s">
        <v>9558</v>
      </c>
      <c r="B202" s="1" t="s">
        <v>9559</v>
      </c>
      <c r="C202" s="1" t="s">
        <v>9560</v>
      </c>
      <c r="D202" s="1" t="s">
        <v>52</v>
      </c>
      <c r="E202" s="1" t="s">
        <v>53</v>
      </c>
      <c r="F202" s="1" t="s">
        <v>9561</v>
      </c>
      <c r="G202" s="1" t="s">
        <v>4674</v>
      </c>
      <c r="H202" s="1" t="s">
        <v>2126</v>
      </c>
      <c r="I202" s="1">
        <v>36</v>
      </c>
      <c r="J202" s="1">
        <v>11</v>
      </c>
      <c r="K202" s="1">
        <v>2</v>
      </c>
      <c r="L202" s="1">
        <v>16</v>
      </c>
      <c r="M202" s="1" t="s">
        <v>803</v>
      </c>
      <c r="N202" s="1" t="s">
        <v>239</v>
      </c>
      <c r="O202" s="1" t="s">
        <v>804</v>
      </c>
      <c r="P202" s="1" t="s">
        <v>9562</v>
      </c>
      <c r="Q202" s="1" t="s">
        <v>9563</v>
      </c>
      <c r="R202" s="1" t="s">
        <v>48</v>
      </c>
      <c r="S202" s="1" t="s">
        <v>9564</v>
      </c>
      <c r="T202" s="1" t="s">
        <v>9565</v>
      </c>
      <c r="U202" s="1" t="s">
        <v>86</v>
      </c>
      <c r="V202" s="1">
        <v>2021</v>
      </c>
      <c r="W202" s="1">
        <v>58</v>
      </c>
      <c r="X202" s="1">
        <v>12</v>
      </c>
      <c r="Y202" s="1" t="s">
        <v>48</v>
      </c>
      <c r="Z202" s="1" t="s">
        <v>48</v>
      </c>
      <c r="AA202" s="1" t="s">
        <v>48</v>
      </c>
      <c r="AB202" s="1" t="s">
        <v>48</v>
      </c>
      <c r="AC202" s="1">
        <v>4795</v>
      </c>
      <c r="AD202" s="1">
        <v>4804</v>
      </c>
      <c r="AE202" s="1" t="s">
        <v>48</v>
      </c>
      <c r="AF202" s="1" t="s">
        <v>9566</v>
      </c>
      <c r="AG202" s="1" t="str">
        <f>HYPERLINK("http://dx.doi.org/10.1007/s13197-021-04975-z","http://dx.doi.org/10.1007/s13197-021-04975-z")</f>
        <v>http://dx.doi.org/10.1007/s13197-021-04975-z</v>
      </c>
      <c r="AH202" s="1" t="s">
        <v>48</v>
      </c>
      <c r="AI202" s="1" t="s">
        <v>10619</v>
      </c>
      <c r="AJ202" s="1">
        <v>10</v>
      </c>
      <c r="AK202" s="1" t="s">
        <v>2971</v>
      </c>
      <c r="AL202" s="1" t="s">
        <v>67</v>
      </c>
      <c r="AM202" s="1" t="s">
        <v>2971</v>
      </c>
      <c r="AN202" s="1">
        <v>34629544</v>
      </c>
      <c r="AO202" s="1" t="s">
        <v>1325</v>
      </c>
      <c r="AP202" s="1" t="s">
        <v>48</v>
      </c>
      <c r="AQ202" s="1" t="s">
        <v>48</v>
      </c>
      <c r="AR202" s="1" t="s">
        <v>10610</v>
      </c>
    </row>
    <row r="203" spans="1:44" x14ac:dyDescent="0.45">
      <c r="A203" s="1" t="s">
        <v>9571</v>
      </c>
      <c r="B203" s="1" t="s">
        <v>9572</v>
      </c>
      <c r="C203" s="1" t="s">
        <v>571</v>
      </c>
      <c r="D203" s="1" t="s">
        <v>52</v>
      </c>
      <c r="E203" s="1" t="s">
        <v>53</v>
      </c>
      <c r="F203" s="1" t="s">
        <v>9573</v>
      </c>
      <c r="G203" s="1" t="s">
        <v>5127</v>
      </c>
      <c r="H203" s="1" t="s">
        <v>9574</v>
      </c>
      <c r="I203" s="1">
        <v>37</v>
      </c>
      <c r="J203" s="1">
        <v>9</v>
      </c>
      <c r="K203" s="1">
        <v>3</v>
      </c>
      <c r="L203" s="1">
        <v>6</v>
      </c>
      <c r="M203" s="1" t="s">
        <v>572</v>
      </c>
      <c r="N203" s="1" t="s">
        <v>573</v>
      </c>
      <c r="O203" s="1" t="s">
        <v>574</v>
      </c>
      <c r="P203" s="1" t="s">
        <v>575</v>
      </c>
      <c r="Q203" s="1" t="s">
        <v>8620</v>
      </c>
      <c r="R203" s="1" t="s">
        <v>48</v>
      </c>
      <c r="S203" s="1" t="s">
        <v>577</v>
      </c>
      <c r="T203" s="1" t="s">
        <v>578</v>
      </c>
      <c r="U203" s="1" t="s">
        <v>1091</v>
      </c>
      <c r="V203" s="1">
        <v>2021</v>
      </c>
      <c r="W203" s="1">
        <v>55</v>
      </c>
      <c r="X203" s="1">
        <v>3</v>
      </c>
      <c r="Y203" s="1" t="s">
        <v>48</v>
      </c>
      <c r="Z203" s="1" t="s">
        <v>48</v>
      </c>
      <c r="AA203" s="1" t="s">
        <v>48</v>
      </c>
      <c r="AB203" s="1" t="s">
        <v>48</v>
      </c>
      <c r="AC203" s="1">
        <v>1291</v>
      </c>
      <c r="AD203" s="1">
        <v>1324</v>
      </c>
      <c r="AE203" s="1" t="s">
        <v>48</v>
      </c>
      <c r="AF203" s="1" t="s">
        <v>9575</v>
      </c>
      <c r="AG203" s="1" t="str">
        <f>HYPERLINK("http://dx.doi.org/10.1051/ro/2021058","http://dx.doi.org/10.1051/ro/2021058")</f>
        <v>http://dx.doi.org/10.1051/ro/2021058</v>
      </c>
      <c r="AH203" s="1" t="s">
        <v>48</v>
      </c>
      <c r="AI203" s="1" t="s">
        <v>48</v>
      </c>
      <c r="AJ203" s="1">
        <v>34</v>
      </c>
      <c r="AK203" s="1" t="s">
        <v>580</v>
      </c>
      <c r="AL203" s="1" t="s">
        <v>67</v>
      </c>
      <c r="AM203" s="1" t="s">
        <v>580</v>
      </c>
      <c r="AN203" s="1" t="s">
        <v>48</v>
      </c>
      <c r="AO203" s="1" t="s">
        <v>9045</v>
      </c>
      <c r="AP203" s="1" t="s">
        <v>48</v>
      </c>
      <c r="AQ203" s="1" t="s">
        <v>48</v>
      </c>
      <c r="AR203" s="1" t="s">
        <v>10610</v>
      </c>
    </row>
    <row r="204" spans="1:44" x14ac:dyDescent="0.45">
      <c r="A204" s="1" t="s">
        <v>9576</v>
      </c>
      <c r="B204" s="1" t="s">
        <v>9577</v>
      </c>
      <c r="C204" s="1" t="s">
        <v>9578</v>
      </c>
      <c r="D204" s="1" t="s">
        <v>52</v>
      </c>
      <c r="E204" s="1" t="s">
        <v>1114</v>
      </c>
      <c r="F204" s="1" t="s">
        <v>9579</v>
      </c>
      <c r="G204" s="1" t="s">
        <v>3791</v>
      </c>
      <c r="H204" s="1" t="s">
        <v>9580</v>
      </c>
      <c r="I204" s="1">
        <v>90</v>
      </c>
      <c r="J204" s="1">
        <v>3</v>
      </c>
      <c r="K204" s="1">
        <v>2</v>
      </c>
      <c r="L204" s="1">
        <v>20</v>
      </c>
      <c r="M204" s="1" t="s">
        <v>252</v>
      </c>
      <c r="N204" s="1" t="s">
        <v>253</v>
      </c>
      <c r="O204" s="1" t="s">
        <v>254</v>
      </c>
      <c r="P204" s="1" t="s">
        <v>9581</v>
      </c>
      <c r="Q204" s="1" t="s">
        <v>9582</v>
      </c>
      <c r="R204" s="1" t="s">
        <v>48</v>
      </c>
      <c r="S204" s="1" t="s">
        <v>9583</v>
      </c>
      <c r="T204" s="1" t="s">
        <v>9584</v>
      </c>
      <c r="U204" s="1" t="s">
        <v>832</v>
      </c>
      <c r="V204" s="1">
        <v>2021</v>
      </c>
      <c r="W204" s="1">
        <v>71</v>
      </c>
      <c r="X204" s="1">
        <v>5</v>
      </c>
      <c r="Y204" s="1" t="s">
        <v>48</v>
      </c>
      <c r="Z204" s="1" t="s">
        <v>48</v>
      </c>
      <c r="AA204" s="1" t="s">
        <v>48</v>
      </c>
      <c r="AB204" s="1" t="s">
        <v>48</v>
      </c>
      <c r="AC204" s="1">
        <v>613</v>
      </c>
      <c r="AD204" s="1">
        <v>629</v>
      </c>
      <c r="AE204" s="1" t="s">
        <v>48</v>
      </c>
      <c r="AF204" s="1" t="s">
        <v>9585</v>
      </c>
      <c r="AG204" s="1" t="str">
        <f>HYPERLINK("http://dx.doi.org/10.1007/s10236-021-01454-z","http://dx.doi.org/10.1007/s10236-021-01454-z")</f>
        <v>http://dx.doi.org/10.1007/s10236-021-01454-z</v>
      </c>
      <c r="AH204" s="1" t="s">
        <v>48</v>
      </c>
      <c r="AI204" s="1" t="s">
        <v>10621</v>
      </c>
      <c r="AJ204" s="1">
        <v>17</v>
      </c>
      <c r="AK204" s="1" t="s">
        <v>9586</v>
      </c>
      <c r="AL204" s="1" t="s">
        <v>67</v>
      </c>
      <c r="AM204" s="1" t="s">
        <v>9586</v>
      </c>
      <c r="AN204" s="1" t="s">
        <v>48</v>
      </c>
      <c r="AO204" s="1" t="s">
        <v>48</v>
      </c>
      <c r="AP204" s="1" t="s">
        <v>48</v>
      </c>
      <c r="AQ204" s="1" t="s">
        <v>48</v>
      </c>
      <c r="AR204" s="1" t="s">
        <v>10610</v>
      </c>
    </row>
    <row r="205" spans="1:44" x14ac:dyDescent="0.45">
      <c r="A205" s="1" t="s">
        <v>9553</v>
      </c>
      <c r="B205" s="1" t="s">
        <v>9554</v>
      </c>
      <c r="C205" s="1" t="s">
        <v>6898</v>
      </c>
      <c r="D205" s="1" t="s">
        <v>52</v>
      </c>
      <c r="E205" s="1" t="s">
        <v>53</v>
      </c>
      <c r="F205" s="1" t="s">
        <v>9555</v>
      </c>
      <c r="G205" s="1" t="s">
        <v>2374</v>
      </c>
      <c r="H205" s="1" t="s">
        <v>9556</v>
      </c>
      <c r="I205" s="1">
        <v>40</v>
      </c>
      <c r="J205" s="1">
        <v>33</v>
      </c>
      <c r="K205" s="1">
        <v>3</v>
      </c>
      <c r="L205" s="1">
        <v>19</v>
      </c>
      <c r="M205" s="1" t="s">
        <v>5783</v>
      </c>
      <c r="N205" s="1" t="s">
        <v>632</v>
      </c>
      <c r="O205" s="1" t="s">
        <v>5784</v>
      </c>
      <c r="P205" s="1" t="s">
        <v>6901</v>
      </c>
      <c r="Q205" s="1" t="s">
        <v>6902</v>
      </c>
      <c r="R205" s="1" t="s">
        <v>48</v>
      </c>
      <c r="S205" s="1" t="s">
        <v>6903</v>
      </c>
      <c r="T205" s="1" t="s">
        <v>6904</v>
      </c>
      <c r="U205" s="1" t="s">
        <v>86</v>
      </c>
      <c r="V205" s="1">
        <v>2021</v>
      </c>
      <c r="W205" s="1">
        <v>36</v>
      </c>
      <c r="X205" s="1">
        <v>12</v>
      </c>
      <c r="Y205" s="1" t="s">
        <v>48</v>
      </c>
      <c r="Z205" s="1" t="s">
        <v>48</v>
      </c>
      <c r="AA205" s="1" t="s">
        <v>48</v>
      </c>
      <c r="AB205" s="1" t="s">
        <v>48</v>
      </c>
      <c r="AC205" s="1">
        <v>7563</v>
      </c>
      <c r="AD205" s="1">
        <v>7590</v>
      </c>
      <c r="AE205" s="1" t="s">
        <v>48</v>
      </c>
      <c r="AF205" s="1" t="s">
        <v>9557</v>
      </c>
      <c r="AG205" s="1" t="str">
        <f>HYPERLINK("http://dx.doi.org/10.1002/int.22599","http://dx.doi.org/10.1002/int.22599")</f>
        <v>http://dx.doi.org/10.1002/int.22599</v>
      </c>
      <c r="AH205" s="1" t="s">
        <v>48</v>
      </c>
      <c r="AI205" s="1" t="s">
        <v>10612</v>
      </c>
      <c r="AJ205" s="1">
        <v>28</v>
      </c>
      <c r="AK205" s="1" t="s">
        <v>549</v>
      </c>
      <c r="AL205" s="1" t="s">
        <v>67</v>
      </c>
      <c r="AM205" s="1" t="s">
        <v>292</v>
      </c>
      <c r="AN205" s="1" t="s">
        <v>48</v>
      </c>
      <c r="AO205" s="1" t="s">
        <v>125</v>
      </c>
      <c r="AP205" s="1" t="s">
        <v>48</v>
      </c>
      <c r="AQ205" s="1" t="s">
        <v>48</v>
      </c>
      <c r="AR205" s="1" t="s">
        <v>10610</v>
      </c>
    </row>
    <row r="206" spans="1:44" x14ac:dyDescent="0.45">
      <c r="A206" s="1" t="s">
        <v>9587</v>
      </c>
      <c r="B206" s="1" t="s">
        <v>9588</v>
      </c>
      <c r="C206" s="1" t="s">
        <v>5943</v>
      </c>
      <c r="D206" s="1" t="s">
        <v>52</v>
      </c>
      <c r="E206" s="1" t="s">
        <v>53</v>
      </c>
      <c r="F206" s="1" t="s">
        <v>9589</v>
      </c>
      <c r="G206" s="1" t="s">
        <v>3669</v>
      </c>
      <c r="H206" s="1" t="s">
        <v>9590</v>
      </c>
      <c r="I206" s="1">
        <v>64</v>
      </c>
      <c r="J206" s="1">
        <v>1</v>
      </c>
      <c r="K206" s="1">
        <v>1</v>
      </c>
      <c r="L206" s="1">
        <v>1</v>
      </c>
      <c r="M206" s="1" t="s">
        <v>145</v>
      </c>
      <c r="N206" s="1" t="s">
        <v>146</v>
      </c>
      <c r="O206" s="1" t="s">
        <v>147</v>
      </c>
      <c r="P206" s="1" t="s">
        <v>5950</v>
      </c>
      <c r="Q206" s="1" t="s">
        <v>5951</v>
      </c>
      <c r="R206" s="1" t="s">
        <v>48</v>
      </c>
      <c r="S206" s="1" t="s">
        <v>5952</v>
      </c>
      <c r="T206" s="1" t="s">
        <v>5953</v>
      </c>
      <c r="U206" s="1" t="s">
        <v>2442</v>
      </c>
      <c r="V206" s="1">
        <v>2022</v>
      </c>
      <c r="W206" s="1">
        <v>27</v>
      </c>
      <c r="X206" s="1">
        <v>7</v>
      </c>
      <c r="Y206" s="1" t="s">
        <v>48</v>
      </c>
      <c r="Z206" s="1" t="s">
        <v>48</v>
      </c>
      <c r="AA206" s="1" t="s">
        <v>48</v>
      </c>
      <c r="AB206" s="1" t="s">
        <v>48</v>
      </c>
      <c r="AC206" s="1">
        <v>1575</v>
      </c>
      <c r="AD206" s="1">
        <v>1598</v>
      </c>
      <c r="AE206" s="1" t="s">
        <v>48</v>
      </c>
      <c r="AF206" s="1" t="s">
        <v>9591</v>
      </c>
      <c r="AG206" s="1" t="str">
        <f>HYPERLINK("http://dx.doi.org/10.1080/13557858.2021.1910626","http://dx.doi.org/10.1080/13557858.2021.1910626")</f>
        <v>http://dx.doi.org/10.1080/13557858.2021.1910626</v>
      </c>
      <c r="AH206" s="1" t="s">
        <v>48</v>
      </c>
      <c r="AI206" s="1" t="s">
        <v>10621</v>
      </c>
      <c r="AJ206" s="1">
        <v>24</v>
      </c>
      <c r="AK206" s="1" t="s">
        <v>5956</v>
      </c>
      <c r="AL206" s="1" t="s">
        <v>944</v>
      </c>
      <c r="AM206" s="1" t="s">
        <v>5956</v>
      </c>
      <c r="AN206" s="1">
        <v>33820458</v>
      </c>
      <c r="AO206" s="1" t="s">
        <v>48</v>
      </c>
      <c r="AP206" s="1" t="s">
        <v>48</v>
      </c>
      <c r="AQ206" s="1" t="s">
        <v>48</v>
      </c>
      <c r="AR206" s="1" t="s">
        <v>10610</v>
      </c>
    </row>
    <row r="207" spans="1:44" x14ac:dyDescent="0.45">
      <c r="A207" s="1" t="s">
        <v>9592</v>
      </c>
      <c r="B207" s="1" t="s">
        <v>9593</v>
      </c>
      <c r="C207" s="1" t="s">
        <v>9594</v>
      </c>
      <c r="D207" s="1" t="s">
        <v>52</v>
      </c>
      <c r="E207" s="1" t="s">
        <v>53</v>
      </c>
      <c r="F207" s="1" t="s">
        <v>9595</v>
      </c>
      <c r="G207" s="1" t="s">
        <v>3677</v>
      </c>
      <c r="H207" s="1" t="s">
        <v>9596</v>
      </c>
      <c r="I207" s="1">
        <v>75</v>
      </c>
      <c r="J207" s="1">
        <v>12</v>
      </c>
      <c r="K207" s="1">
        <v>6</v>
      </c>
      <c r="L207" s="1">
        <v>19</v>
      </c>
      <c r="M207" s="1" t="s">
        <v>1407</v>
      </c>
      <c r="N207" s="1" t="s">
        <v>632</v>
      </c>
      <c r="O207" s="1" t="s">
        <v>1408</v>
      </c>
      <c r="P207" s="1" t="s">
        <v>9597</v>
      </c>
      <c r="Q207" s="1" t="s">
        <v>9598</v>
      </c>
      <c r="R207" s="1" t="s">
        <v>48</v>
      </c>
      <c r="S207" s="1" t="s">
        <v>9599</v>
      </c>
      <c r="T207" s="1" t="s">
        <v>9600</v>
      </c>
      <c r="U207" s="1" t="s">
        <v>10638</v>
      </c>
      <c r="V207" s="1">
        <v>2021</v>
      </c>
      <c r="W207" s="1">
        <v>253</v>
      </c>
      <c r="X207" s="1" t="s">
        <v>48</v>
      </c>
      <c r="Y207" s="1" t="s">
        <v>48</v>
      </c>
      <c r="Z207" s="1" t="s">
        <v>48</v>
      </c>
      <c r="AA207" s="1" t="s">
        <v>48</v>
      </c>
      <c r="AB207" s="1" t="s">
        <v>48</v>
      </c>
      <c r="AC207" s="1" t="s">
        <v>48</v>
      </c>
      <c r="AD207" s="1" t="s">
        <v>48</v>
      </c>
      <c r="AE207" s="1">
        <v>107308</v>
      </c>
      <c r="AF207" s="1" t="s">
        <v>9601</v>
      </c>
      <c r="AG207" s="1" t="str">
        <f>HYPERLINK("http://dx.doi.org/10.1016/j.ecss.2021.107308","http://dx.doi.org/10.1016/j.ecss.2021.107308")</f>
        <v>http://dx.doi.org/10.1016/j.ecss.2021.107308</v>
      </c>
      <c r="AH207" s="1" t="s">
        <v>48</v>
      </c>
      <c r="AI207" s="1" t="s">
        <v>10618</v>
      </c>
      <c r="AJ207" s="1">
        <v>14</v>
      </c>
      <c r="AK207" s="1" t="s">
        <v>5616</v>
      </c>
      <c r="AL207" s="1" t="s">
        <v>67</v>
      </c>
      <c r="AM207" s="1" t="s">
        <v>5616</v>
      </c>
      <c r="AN207" s="1" t="s">
        <v>48</v>
      </c>
      <c r="AO207" s="1" t="s">
        <v>48</v>
      </c>
      <c r="AP207" s="1" t="s">
        <v>48</v>
      </c>
      <c r="AQ207" s="1" t="s">
        <v>48</v>
      </c>
      <c r="AR207" s="1" t="s">
        <v>10610</v>
      </c>
    </row>
    <row r="208" spans="1:44" x14ac:dyDescent="0.45">
      <c r="A208" s="1" t="s">
        <v>9602</v>
      </c>
      <c r="B208" s="1" t="s">
        <v>9603</v>
      </c>
      <c r="C208" s="1" t="s">
        <v>9356</v>
      </c>
      <c r="D208" s="1" t="s">
        <v>52</v>
      </c>
      <c r="E208" s="1" t="s">
        <v>53</v>
      </c>
      <c r="F208" s="1" t="s">
        <v>9604</v>
      </c>
      <c r="G208" s="1" t="s">
        <v>58</v>
      </c>
      <c r="H208" s="1" t="s">
        <v>2963</v>
      </c>
      <c r="I208" s="1">
        <v>19</v>
      </c>
      <c r="J208" s="1">
        <v>15</v>
      </c>
      <c r="K208" s="1">
        <v>1</v>
      </c>
      <c r="L208" s="1">
        <v>5</v>
      </c>
      <c r="M208" s="1" t="s">
        <v>1523</v>
      </c>
      <c r="N208" s="1" t="s">
        <v>632</v>
      </c>
      <c r="O208" s="1" t="s">
        <v>1524</v>
      </c>
      <c r="P208" s="1" t="s">
        <v>9360</v>
      </c>
      <c r="Q208" s="1" t="s">
        <v>9361</v>
      </c>
      <c r="R208" s="1" t="s">
        <v>48</v>
      </c>
      <c r="S208" s="1" t="s">
        <v>9362</v>
      </c>
      <c r="T208" s="1" t="s">
        <v>9363</v>
      </c>
      <c r="U208" s="1" t="s">
        <v>48</v>
      </c>
      <c r="V208" s="1">
        <v>2021</v>
      </c>
      <c r="W208" s="1">
        <v>14</v>
      </c>
      <c r="X208" s="1">
        <v>1</v>
      </c>
      <c r="Y208" s="1" t="s">
        <v>48</v>
      </c>
      <c r="Z208" s="1" t="s">
        <v>48</v>
      </c>
      <c r="AA208" s="1" t="s">
        <v>48</v>
      </c>
      <c r="AB208" s="1" t="s">
        <v>48</v>
      </c>
      <c r="AC208" s="1">
        <v>1034</v>
      </c>
      <c r="AD208" s="1">
        <v>1041</v>
      </c>
      <c r="AE208" s="1" t="s">
        <v>48</v>
      </c>
      <c r="AF208" s="1" t="s">
        <v>9605</v>
      </c>
      <c r="AG208" s="1" t="str">
        <f>HYPERLINK("http://dx.doi.org/10.2991/ijcis.d.210301.001","http://dx.doi.org/10.2991/ijcis.d.210301.001")</f>
        <v>http://dx.doi.org/10.2991/ijcis.d.210301.001</v>
      </c>
      <c r="AH208" s="1" t="s">
        <v>48</v>
      </c>
      <c r="AI208" s="1" t="s">
        <v>48</v>
      </c>
      <c r="AJ208" s="1">
        <v>8</v>
      </c>
      <c r="AK208" s="1" t="s">
        <v>1746</v>
      </c>
      <c r="AL208" s="1" t="s">
        <v>67</v>
      </c>
      <c r="AM208" s="1" t="s">
        <v>292</v>
      </c>
      <c r="AN208" s="1" t="s">
        <v>48</v>
      </c>
      <c r="AO208" s="1" t="s">
        <v>125</v>
      </c>
      <c r="AP208" s="1" t="s">
        <v>48</v>
      </c>
      <c r="AQ208" s="1" t="s">
        <v>48</v>
      </c>
      <c r="AR208" s="1" t="s">
        <v>10610</v>
      </c>
    </row>
    <row r="209" spans="1:44" x14ac:dyDescent="0.45">
      <c r="A209" s="1" t="s">
        <v>9606</v>
      </c>
      <c r="B209" s="1" t="s">
        <v>9607</v>
      </c>
      <c r="C209" s="1" t="s">
        <v>1018</v>
      </c>
      <c r="D209" s="1" t="s">
        <v>52</v>
      </c>
      <c r="E209" s="1" t="s">
        <v>53</v>
      </c>
      <c r="F209" s="1" t="s">
        <v>9608</v>
      </c>
      <c r="G209" s="1" t="s">
        <v>4402</v>
      </c>
      <c r="H209" s="1" t="s">
        <v>9609</v>
      </c>
      <c r="I209" s="1">
        <v>51</v>
      </c>
      <c r="J209" s="1">
        <v>13</v>
      </c>
      <c r="K209" s="1">
        <v>1</v>
      </c>
      <c r="L209" s="1">
        <v>10</v>
      </c>
      <c r="M209" s="1" t="s">
        <v>252</v>
      </c>
      <c r="N209" s="1" t="s">
        <v>253</v>
      </c>
      <c r="O209" s="1" t="s">
        <v>254</v>
      </c>
      <c r="P209" s="1" t="s">
        <v>1024</v>
      </c>
      <c r="Q209" s="1" t="s">
        <v>1025</v>
      </c>
      <c r="R209" s="1" t="s">
        <v>48</v>
      </c>
      <c r="S209" s="1" t="s">
        <v>1026</v>
      </c>
      <c r="T209" s="1" t="s">
        <v>1027</v>
      </c>
      <c r="U209" s="1" t="s">
        <v>320</v>
      </c>
      <c r="V209" s="1">
        <v>2022</v>
      </c>
      <c r="W209" s="1">
        <v>29</v>
      </c>
      <c r="X209" s="1">
        <v>15</v>
      </c>
      <c r="Y209" s="1" t="s">
        <v>48</v>
      </c>
      <c r="Z209" s="1" t="s">
        <v>48</v>
      </c>
      <c r="AA209" s="1" t="s">
        <v>48</v>
      </c>
      <c r="AB209" s="1" t="s">
        <v>48</v>
      </c>
      <c r="AC209" s="1">
        <v>21365</v>
      </c>
      <c r="AD209" s="1">
        <v>21379</v>
      </c>
      <c r="AE209" s="1" t="s">
        <v>48</v>
      </c>
      <c r="AF209" s="1" t="s">
        <v>9610</v>
      </c>
      <c r="AG209" s="1" t="str">
        <f>HYPERLINK("http://dx.doi.org/10.1007/s11356-021-17297-6","http://dx.doi.org/10.1007/s11356-021-17297-6")</f>
        <v>http://dx.doi.org/10.1007/s11356-021-17297-6</v>
      </c>
      <c r="AH209" s="1" t="s">
        <v>48</v>
      </c>
      <c r="AI209" s="1" t="s">
        <v>10616</v>
      </c>
      <c r="AJ209" s="1">
        <v>15</v>
      </c>
      <c r="AK209" s="1" t="s">
        <v>438</v>
      </c>
      <c r="AL209" s="1" t="s">
        <v>67</v>
      </c>
      <c r="AM209" s="1" t="s">
        <v>439</v>
      </c>
      <c r="AN209" s="1">
        <v>34755302</v>
      </c>
      <c r="AO209" s="1" t="s">
        <v>48</v>
      </c>
      <c r="AP209" s="1" t="s">
        <v>48</v>
      </c>
      <c r="AQ209" s="1" t="s">
        <v>48</v>
      </c>
      <c r="AR209" s="1" t="s">
        <v>10610</v>
      </c>
    </row>
    <row r="210" spans="1:44" x14ac:dyDescent="0.45">
      <c r="A210" s="1" t="s">
        <v>9611</v>
      </c>
      <c r="B210" s="1" t="s">
        <v>9612</v>
      </c>
      <c r="C210" s="1" t="s">
        <v>9613</v>
      </c>
      <c r="D210" s="1" t="s">
        <v>52</v>
      </c>
      <c r="E210" s="1" t="s">
        <v>53</v>
      </c>
      <c r="F210" s="1" t="s">
        <v>9614</v>
      </c>
      <c r="G210" s="1" t="s">
        <v>9615</v>
      </c>
      <c r="H210" s="1" t="s">
        <v>4907</v>
      </c>
      <c r="I210" s="1">
        <v>76</v>
      </c>
      <c r="J210" s="1">
        <v>38</v>
      </c>
      <c r="K210" s="1">
        <v>0</v>
      </c>
      <c r="L210" s="1">
        <v>2</v>
      </c>
      <c r="M210" s="1" t="s">
        <v>252</v>
      </c>
      <c r="N210" s="1" t="s">
        <v>253</v>
      </c>
      <c r="O210" s="1" t="s">
        <v>254</v>
      </c>
      <c r="P210" s="1" t="s">
        <v>9616</v>
      </c>
      <c r="Q210" s="1" t="s">
        <v>9617</v>
      </c>
      <c r="R210" s="1" t="s">
        <v>48</v>
      </c>
      <c r="S210" s="1" t="s">
        <v>9618</v>
      </c>
      <c r="T210" s="1" t="s">
        <v>9619</v>
      </c>
      <c r="U210" s="1" t="s">
        <v>86</v>
      </c>
      <c r="V210" s="1">
        <v>2021</v>
      </c>
      <c r="W210" s="1">
        <v>20</v>
      </c>
      <c r="X210" s="1">
        <v>6</v>
      </c>
      <c r="Y210" s="1" t="s">
        <v>48</v>
      </c>
      <c r="Z210" s="1" t="s">
        <v>48</v>
      </c>
      <c r="AA210" s="1" t="s">
        <v>48</v>
      </c>
      <c r="AB210" s="1" t="s">
        <v>48</v>
      </c>
      <c r="AC210" s="1">
        <v>2393</v>
      </c>
      <c r="AD210" s="1">
        <v>2412</v>
      </c>
      <c r="AE210" s="1" t="s">
        <v>48</v>
      </c>
      <c r="AF210" s="1" t="s">
        <v>9620</v>
      </c>
      <c r="AG210" s="1" t="str">
        <f>HYPERLINK("http://dx.doi.org/10.1007/s10237-021-01515-8","http://dx.doi.org/10.1007/s10237-021-01515-8")</f>
        <v>http://dx.doi.org/10.1007/s10237-021-01515-8</v>
      </c>
      <c r="AH210" s="1" t="s">
        <v>48</v>
      </c>
      <c r="AI210" s="1" t="s">
        <v>10612</v>
      </c>
      <c r="AJ210" s="1">
        <v>20</v>
      </c>
      <c r="AK210" s="1" t="s">
        <v>9621</v>
      </c>
      <c r="AL210" s="1" t="s">
        <v>67</v>
      </c>
      <c r="AM210" s="1" t="s">
        <v>9622</v>
      </c>
      <c r="AN210" s="1">
        <v>34455509</v>
      </c>
      <c r="AO210" s="1" t="s">
        <v>48</v>
      </c>
      <c r="AP210" s="1" t="s">
        <v>48</v>
      </c>
      <c r="AQ210" s="1" t="s">
        <v>48</v>
      </c>
      <c r="AR210" s="1" t="s">
        <v>10610</v>
      </c>
    </row>
    <row r="211" spans="1:44" x14ac:dyDescent="0.45">
      <c r="A211" s="1" t="s">
        <v>9623</v>
      </c>
      <c r="B211" s="1" t="s">
        <v>9624</v>
      </c>
      <c r="C211" s="1" t="s">
        <v>3983</v>
      </c>
      <c r="D211" s="1" t="s">
        <v>52</v>
      </c>
      <c r="E211" s="1" t="s">
        <v>53</v>
      </c>
      <c r="F211" s="1" t="s">
        <v>9625</v>
      </c>
      <c r="G211" s="1" t="s">
        <v>9626</v>
      </c>
      <c r="H211" s="1" t="s">
        <v>9627</v>
      </c>
      <c r="I211" s="1">
        <v>30</v>
      </c>
      <c r="J211" s="1">
        <v>1</v>
      </c>
      <c r="K211" s="1">
        <v>1</v>
      </c>
      <c r="L211" s="1">
        <v>3</v>
      </c>
      <c r="M211" s="1" t="s">
        <v>3985</v>
      </c>
      <c r="N211" s="1" t="s">
        <v>3986</v>
      </c>
      <c r="O211" s="1" t="s">
        <v>3987</v>
      </c>
      <c r="P211" s="1" t="s">
        <v>3988</v>
      </c>
      <c r="Q211" s="1" t="s">
        <v>3989</v>
      </c>
      <c r="R211" s="1" t="s">
        <v>48</v>
      </c>
      <c r="S211" s="1" t="s">
        <v>3990</v>
      </c>
      <c r="T211" s="1" t="s">
        <v>3991</v>
      </c>
      <c r="U211" s="1" t="s">
        <v>48</v>
      </c>
      <c r="V211" s="1">
        <v>2021</v>
      </c>
      <c r="W211" s="1">
        <v>23</v>
      </c>
      <c r="X211" s="1">
        <v>4</v>
      </c>
      <c r="Y211" s="1" t="s">
        <v>48</v>
      </c>
      <c r="Z211" s="1" t="s">
        <v>48</v>
      </c>
      <c r="AA211" s="1" t="s">
        <v>48</v>
      </c>
      <c r="AB211" s="1" t="s">
        <v>48</v>
      </c>
      <c r="AC211" s="1">
        <v>416</v>
      </c>
      <c r="AD211" s="1">
        <v>430</v>
      </c>
      <c r="AE211" s="1" t="s">
        <v>48</v>
      </c>
      <c r="AF211" s="1" t="s">
        <v>9628</v>
      </c>
      <c r="AG211" s="1" t="str">
        <f>HYPERLINK("http://dx.doi.org/10.1504/IJICBM.2021.117476","http://dx.doi.org/10.1504/IJICBM.2021.117476")</f>
        <v>http://dx.doi.org/10.1504/IJICBM.2021.117476</v>
      </c>
      <c r="AH211" s="1" t="s">
        <v>48</v>
      </c>
      <c r="AI211" s="1" t="s">
        <v>48</v>
      </c>
      <c r="AJ211" s="1">
        <v>15</v>
      </c>
      <c r="AK211" s="1" t="s">
        <v>1630</v>
      </c>
      <c r="AL211" s="1" t="s">
        <v>124</v>
      </c>
      <c r="AM211" s="1" t="s">
        <v>510</v>
      </c>
      <c r="AN211" s="1" t="s">
        <v>48</v>
      </c>
      <c r="AO211" s="1" t="s">
        <v>48</v>
      </c>
      <c r="AP211" s="1" t="s">
        <v>48</v>
      </c>
      <c r="AQ211" s="1" t="s">
        <v>48</v>
      </c>
      <c r="AR211" s="1" t="s">
        <v>10610</v>
      </c>
    </row>
    <row r="212" spans="1:44" x14ac:dyDescent="0.45">
      <c r="A212" s="1" t="s">
        <v>9649</v>
      </c>
      <c r="B212" s="1" t="s">
        <v>9650</v>
      </c>
      <c r="C212" s="1" t="s">
        <v>1597</v>
      </c>
      <c r="D212" s="1" t="s">
        <v>52</v>
      </c>
      <c r="E212" s="1" t="s">
        <v>53</v>
      </c>
      <c r="F212" s="1" t="s">
        <v>9651</v>
      </c>
      <c r="G212" s="1" t="s">
        <v>9652</v>
      </c>
      <c r="H212" s="1" t="s">
        <v>9653</v>
      </c>
      <c r="I212" s="1">
        <v>71</v>
      </c>
      <c r="J212" s="1">
        <v>37</v>
      </c>
      <c r="K212" s="1">
        <v>0</v>
      </c>
      <c r="L212" s="1">
        <v>10</v>
      </c>
      <c r="M212" s="1" t="s">
        <v>252</v>
      </c>
      <c r="N212" s="1" t="s">
        <v>253</v>
      </c>
      <c r="O212" s="1" t="s">
        <v>254</v>
      </c>
      <c r="P212" s="1" t="s">
        <v>1603</v>
      </c>
      <c r="Q212" s="1" t="s">
        <v>1604</v>
      </c>
      <c r="R212" s="1" t="s">
        <v>48</v>
      </c>
      <c r="S212" s="1" t="s">
        <v>1597</v>
      </c>
      <c r="T212" s="1" t="s">
        <v>1605</v>
      </c>
      <c r="U212" s="1" t="s">
        <v>10639</v>
      </c>
      <c r="V212" s="1">
        <v>2021</v>
      </c>
      <c r="W212" s="1">
        <v>11</v>
      </c>
      <c r="X212" s="1">
        <v>2</v>
      </c>
      <c r="Y212" s="1" t="s">
        <v>48</v>
      </c>
      <c r="Z212" s="1" t="s">
        <v>48</v>
      </c>
      <c r="AA212" s="1" t="s">
        <v>48</v>
      </c>
      <c r="AB212" s="1" t="s">
        <v>48</v>
      </c>
      <c r="AC212" s="1" t="s">
        <v>48</v>
      </c>
      <c r="AD212" s="1" t="s">
        <v>48</v>
      </c>
      <c r="AE212" s="1">
        <v>47</v>
      </c>
      <c r="AF212" s="1" t="s">
        <v>9654</v>
      </c>
      <c r="AG212" s="1" t="str">
        <f>HYPERLINK("http://dx.doi.org/10.1007/s13205-020-02574-x","http://dx.doi.org/10.1007/s13205-020-02574-x")</f>
        <v>http://dx.doi.org/10.1007/s13205-020-02574-x</v>
      </c>
      <c r="AH212" s="1" t="s">
        <v>48</v>
      </c>
      <c r="AI212" s="1" t="s">
        <v>48</v>
      </c>
      <c r="AJ212" s="1">
        <v>14</v>
      </c>
      <c r="AK212" s="1" t="s">
        <v>1528</v>
      </c>
      <c r="AL212" s="1" t="s">
        <v>67</v>
      </c>
      <c r="AM212" s="1" t="s">
        <v>1528</v>
      </c>
      <c r="AN212" s="1">
        <v>33457172</v>
      </c>
      <c r="AO212" s="1" t="s">
        <v>3157</v>
      </c>
      <c r="AP212" s="1" t="s">
        <v>48</v>
      </c>
      <c r="AQ212" s="1" t="s">
        <v>48</v>
      </c>
      <c r="AR212" s="1" t="s">
        <v>10610</v>
      </c>
    </row>
    <row r="213" spans="1:44" x14ac:dyDescent="0.45">
      <c r="A213" s="1" t="s">
        <v>9629</v>
      </c>
      <c r="B213" s="1" t="s">
        <v>9630</v>
      </c>
      <c r="C213" s="1" t="s">
        <v>3470</v>
      </c>
      <c r="D213" s="1" t="s">
        <v>52</v>
      </c>
      <c r="E213" s="1" t="s">
        <v>53</v>
      </c>
      <c r="F213" s="1" t="s">
        <v>9631</v>
      </c>
      <c r="G213" s="1" t="s">
        <v>9632</v>
      </c>
      <c r="H213" s="1" t="s">
        <v>2191</v>
      </c>
      <c r="I213" s="1">
        <v>40</v>
      </c>
      <c r="J213" s="1">
        <v>0</v>
      </c>
      <c r="K213" s="1">
        <v>0</v>
      </c>
      <c r="L213" s="1">
        <v>11</v>
      </c>
      <c r="M213" s="1" t="s">
        <v>2989</v>
      </c>
      <c r="N213" s="1" t="s">
        <v>2990</v>
      </c>
      <c r="O213" s="1" t="s">
        <v>2991</v>
      </c>
      <c r="P213" s="1" t="s">
        <v>3477</v>
      </c>
      <c r="Q213" s="1" t="s">
        <v>48</v>
      </c>
      <c r="R213" s="1" t="s">
        <v>48</v>
      </c>
      <c r="S213" s="1" t="s">
        <v>3470</v>
      </c>
      <c r="T213" s="1" t="s">
        <v>3478</v>
      </c>
      <c r="U213" s="1" t="s">
        <v>5395</v>
      </c>
      <c r="V213" s="1">
        <v>2021</v>
      </c>
      <c r="W213" s="1">
        <v>6</v>
      </c>
      <c r="X213" s="1">
        <v>42</v>
      </c>
      <c r="Y213" s="1" t="s">
        <v>48</v>
      </c>
      <c r="Z213" s="1" t="s">
        <v>48</v>
      </c>
      <c r="AA213" s="1" t="s">
        <v>48</v>
      </c>
      <c r="AB213" s="1" t="s">
        <v>48</v>
      </c>
      <c r="AC213" s="1">
        <v>11759</v>
      </c>
      <c r="AD213" s="1">
        <v>11767</v>
      </c>
      <c r="AE213" s="1" t="s">
        <v>48</v>
      </c>
      <c r="AF213" s="1" t="s">
        <v>9633</v>
      </c>
      <c r="AG213" s="1" t="str">
        <f>HYPERLINK("http://dx.doi.org/10.1002/slct.202102739","http://dx.doi.org/10.1002/slct.202102739")</f>
        <v>http://dx.doi.org/10.1002/slct.202102739</v>
      </c>
      <c r="AH213" s="1" t="s">
        <v>48</v>
      </c>
      <c r="AI213" s="1" t="s">
        <v>48</v>
      </c>
      <c r="AJ213" s="1">
        <v>9</v>
      </c>
      <c r="AK213" s="1" t="s">
        <v>2292</v>
      </c>
      <c r="AL213" s="1" t="s">
        <v>67</v>
      </c>
      <c r="AM213" s="1" t="s">
        <v>2293</v>
      </c>
      <c r="AN213" s="1" t="s">
        <v>48</v>
      </c>
      <c r="AO213" s="1" t="s">
        <v>48</v>
      </c>
      <c r="AP213" s="1" t="s">
        <v>48</v>
      </c>
      <c r="AQ213" s="1" t="s">
        <v>48</v>
      </c>
      <c r="AR213" s="1" t="s">
        <v>10610</v>
      </c>
    </row>
    <row r="214" spans="1:44" x14ac:dyDescent="0.45">
      <c r="A214" s="1" t="s">
        <v>9634</v>
      </c>
      <c r="B214" s="1" t="s">
        <v>9635</v>
      </c>
      <c r="C214" s="1" t="s">
        <v>9636</v>
      </c>
      <c r="D214" s="1" t="s">
        <v>52</v>
      </c>
      <c r="E214" s="1" t="s">
        <v>53</v>
      </c>
      <c r="F214" s="1" t="s">
        <v>9637</v>
      </c>
      <c r="G214" s="1" t="s">
        <v>9638</v>
      </c>
      <c r="H214" s="1" t="s">
        <v>9639</v>
      </c>
      <c r="I214" s="1">
        <v>72</v>
      </c>
      <c r="J214" s="1">
        <v>4</v>
      </c>
      <c r="K214" s="1">
        <v>2</v>
      </c>
      <c r="L214" s="1">
        <v>10</v>
      </c>
      <c r="M214" s="1" t="s">
        <v>347</v>
      </c>
      <c r="N214" s="1" t="s">
        <v>348</v>
      </c>
      <c r="O214" s="1" t="s">
        <v>349</v>
      </c>
      <c r="P214" s="1" t="s">
        <v>9640</v>
      </c>
      <c r="Q214" s="1" t="s">
        <v>9641</v>
      </c>
      <c r="R214" s="1" t="s">
        <v>48</v>
      </c>
      <c r="S214" s="1" t="s">
        <v>9642</v>
      </c>
      <c r="T214" s="1" t="s">
        <v>9643</v>
      </c>
      <c r="U214" s="1" t="s">
        <v>320</v>
      </c>
      <c r="V214" s="1">
        <v>2022</v>
      </c>
      <c r="W214" s="1">
        <v>53</v>
      </c>
      <c r="X214" s="1">
        <v>4</v>
      </c>
      <c r="Y214" s="1" t="s">
        <v>48</v>
      </c>
      <c r="Z214" s="1" t="s">
        <v>48</v>
      </c>
      <c r="AA214" s="1" t="s">
        <v>48</v>
      </c>
      <c r="AB214" s="1" t="s">
        <v>48</v>
      </c>
      <c r="AC214" s="1">
        <v>1363</v>
      </c>
      <c r="AD214" s="1">
        <v>1377</v>
      </c>
      <c r="AE214" s="1" t="s">
        <v>48</v>
      </c>
      <c r="AF214" s="1" t="s">
        <v>9644</v>
      </c>
      <c r="AG214" s="1" t="str">
        <f>HYPERLINK("http://dx.doi.org/10.1111/are.15670","http://dx.doi.org/10.1111/are.15670")</f>
        <v>http://dx.doi.org/10.1111/are.15670</v>
      </c>
      <c r="AH214" s="1" t="s">
        <v>48</v>
      </c>
      <c r="AI214" s="1" t="s">
        <v>10616</v>
      </c>
      <c r="AJ214" s="1">
        <v>15</v>
      </c>
      <c r="AK214" s="1" t="s">
        <v>2011</v>
      </c>
      <c r="AL214" s="1" t="s">
        <v>67</v>
      </c>
      <c r="AM214" s="1" t="s">
        <v>2011</v>
      </c>
      <c r="AN214" s="1" t="s">
        <v>48</v>
      </c>
      <c r="AO214" s="1" t="s">
        <v>125</v>
      </c>
      <c r="AP214" s="1" t="s">
        <v>48</v>
      </c>
      <c r="AQ214" s="1" t="s">
        <v>48</v>
      </c>
      <c r="AR214" s="1" t="s">
        <v>10610</v>
      </c>
    </row>
    <row r="215" spans="1:44" x14ac:dyDescent="0.45">
      <c r="A215" s="1" t="s">
        <v>9645</v>
      </c>
      <c r="B215" s="1" t="s">
        <v>9646</v>
      </c>
      <c r="C215" s="1" t="s">
        <v>5695</v>
      </c>
      <c r="D215" s="1" t="s">
        <v>52</v>
      </c>
      <c r="E215" s="1" t="s">
        <v>53</v>
      </c>
      <c r="F215" s="1" t="s">
        <v>9647</v>
      </c>
      <c r="G215" s="1" t="s">
        <v>4055</v>
      </c>
      <c r="H215" s="1" t="s">
        <v>227</v>
      </c>
      <c r="I215" s="1">
        <v>50</v>
      </c>
      <c r="J215" s="1">
        <v>26</v>
      </c>
      <c r="K215" s="1">
        <v>1</v>
      </c>
      <c r="L215" s="1">
        <v>10</v>
      </c>
      <c r="M215" s="1" t="s">
        <v>313</v>
      </c>
      <c r="N215" s="1" t="s">
        <v>314</v>
      </c>
      <c r="O215" s="1" t="s">
        <v>315</v>
      </c>
      <c r="P215" s="1" t="s">
        <v>5699</v>
      </c>
      <c r="Q215" s="1" t="s">
        <v>5700</v>
      </c>
      <c r="R215" s="1" t="s">
        <v>48</v>
      </c>
      <c r="S215" s="1" t="s">
        <v>5701</v>
      </c>
      <c r="T215" s="1" t="s">
        <v>5702</v>
      </c>
      <c r="U215" s="1" t="s">
        <v>911</v>
      </c>
      <c r="V215" s="1">
        <v>2021</v>
      </c>
      <c r="W215" s="1">
        <v>8</v>
      </c>
      <c r="X215" s="1">
        <v>2</v>
      </c>
      <c r="Y215" s="1" t="s">
        <v>48</v>
      </c>
      <c r="Z215" s="1" t="s">
        <v>48</v>
      </c>
      <c r="AA215" s="1" t="s">
        <v>48</v>
      </c>
      <c r="AB215" s="1" t="s">
        <v>48</v>
      </c>
      <c r="AC215" s="1">
        <v>101</v>
      </c>
      <c r="AD215" s="1">
        <v>118</v>
      </c>
      <c r="AE215" s="1" t="s">
        <v>48</v>
      </c>
      <c r="AF215" s="1" t="s">
        <v>9648</v>
      </c>
      <c r="AG215" s="1" t="str">
        <f>HYPERLINK("http://dx.doi.org/10.3934/jdg.2020031","http://dx.doi.org/10.3934/jdg.2020031")</f>
        <v>http://dx.doi.org/10.3934/jdg.2020031</v>
      </c>
      <c r="AH215" s="1" t="s">
        <v>48</v>
      </c>
      <c r="AI215" s="1" t="s">
        <v>48</v>
      </c>
      <c r="AJ215" s="1">
        <v>18</v>
      </c>
      <c r="AK215" s="1" t="s">
        <v>3796</v>
      </c>
      <c r="AL215" s="1" t="s">
        <v>124</v>
      </c>
      <c r="AM215" s="1" t="s">
        <v>137</v>
      </c>
      <c r="AN215" s="1" t="s">
        <v>48</v>
      </c>
      <c r="AO215" s="1" t="s">
        <v>125</v>
      </c>
      <c r="AP215" s="1" t="s">
        <v>48</v>
      </c>
      <c r="AQ215" s="1" t="s">
        <v>48</v>
      </c>
      <c r="AR215" s="1" t="s">
        <v>10610</v>
      </c>
    </row>
    <row r="216" spans="1:44" x14ac:dyDescent="0.45">
      <c r="A216" s="1" t="s">
        <v>6066</v>
      </c>
      <c r="B216" s="1" t="s">
        <v>9655</v>
      </c>
      <c r="C216" s="1" t="s">
        <v>2954</v>
      </c>
      <c r="D216" s="1" t="s">
        <v>52</v>
      </c>
      <c r="E216" s="1" t="s">
        <v>53</v>
      </c>
      <c r="F216" s="1" t="s">
        <v>9656</v>
      </c>
      <c r="G216" s="1" t="s">
        <v>9657</v>
      </c>
      <c r="H216" s="1" t="s">
        <v>3704</v>
      </c>
      <c r="I216" s="1">
        <v>105</v>
      </c>
      <c r="J216" s="1">
        <v>63</v>
      </c>
      <c r="K216" s="1">
        <v>0</v>
      </c>
      <c r="L216" s="1">
        <v>3</v>
      </c>
      <c r="M216" s="1" t="s">
        <v>252</v>
      </c>
      <c r="N216" s="1" t="s">
        <v>253</v>
      </c>
      <c r="O216" s="1" t="s">
        <v>254</v>
      </c>
      <c r="P216" s="1" t="s">
        <v>2957</v>
      </c>
      <c r="Q216" s="1" t="s">
        <v>48</v>
      </c>
      <c r="R216" s="1" t="s">
        <v>48</v>
      </c>
      <c r="S216" s="1" t="s">
        <v>2958</v>
      </c>
      <c r="T216" s="1" t="s">
        <v>2959</v>
      </c>
      <c r="U216" s="1" t="s">
        <v>673</v>
      </c>
      <c r="V216" s="1">
        <v>2021</v>
      </c>
      <c r="W216" s="1">
        <v>136</v>
      </c>
      <c r="X216" s="1">
        <v>1</v>
      </c>
      <c r="Y216" s="1" t="s">
        <v>48</v>
      </c>
      <c r="Z216" s="1" t="s">
        <v>48</v>
      </c>
      <c r="AA216" s="1" t="s">
        <v>48</v>
      </c>
      <c r="AB216" s="1" t="s">
        <v>48</v>
      </c>
      <c r="AC216" s="1" t="s">
        <v>48</v>
      </c>
      <c r="AD216" s="1" t="s">
        <v>48</v>
      </c>
      <c r="AE216" s="1">
        <v>134</v>
      </c>
      <c r="AF216" s="1" t="s">
        <v>9658</v>
      </c>
      <c r="AG216" s="1" t="str">
        <f>HYPERLINK("http://dx.doi.org/10.1140/epjp/s13360-021-01130-7","http://dx.doi.org/10.1140/epjp/s13360-021-01130-7")</f>
        <v>http://dx.doi.org/10.1140/epjp/s13360-021-01130-7</v>
      </c>
      <c r="AH216" s="1" t="s">
        <v>48</v>
      </c>
      <c r="AI216" s="1" t="s">
        <v>48</v>
      </c>
      <c r="AJ216" s="1">
        <v>14</v>
      </c>
      <c r="AK216" s="1" t="s">
        <v>669</v>
      </c>
      <c r="AL216" s="1" t="s">
        <v>67</v>
      </c>
      <c r="AM216" s="1" t="s">
        <v>670</v>
      </c>
      <c r="AN216" s="1" t="s">
        <v>48</v>
      </c>
      <c r="AO216" s="1" t="s">
        <v>2074</v>
      </c>
      <c r="AP216" s="1" t="s">
        <v>48</v>
      </c>
      <c r="AQ216" s="1" t="s">
        <v>48</v>
      </c>
      <c r="AR216" s="1" t="s">
        <v>10610</v>
      </c>
    </row>
    <row r="217" spans="1:44" x14ac:dyDescent="0.45">
      <c r="A217" s="1" t="s">
        <v>9659</v>
      </c>
      <c r="B217" s="1" t="s">
        <v>9660</v>
      </c>
      <c r="C217" s="1" t="s">
        <v>9661</v>
      </c>
      <c r="D217" s="1" t="s">
        <v>52</v>
      </c>
      <c r="E217" s="1" t="s">
        <v>53</v>
      </c>
      <c r="F217" s="1" t="s">
        <v>9662</v>
      </c>
      <c r="G217" s="1" t="s">
        <v>9663</v>
      </c>
      <c r="H217" s="1" t="s">
        <v>9664</v>
      </c>
      <c r="I217" s="1">
        <v>35</v>
      </c>
      <c r="J217" s="1">
        <v>56</v>
      </c>
      <c r="K217" s="1">
        <v>0</v>
      </c>
      <c r="L217" s="1">
        <v>7</v>
      </c>
      <c r="M217" s="1" t="s">
        <v>5520</v>
      </c>
      <c r="N217" s="1" t="s">
        <v>632</v>
      </c>
      <c r="O217" s="1" t="s">
        <v>5521</v>
      </c>
      <c r="P217" s="1" t="s">
        <v>9665</v>
      </c>
      <c r="Q217" s="1" t="s">
        <v>9666</v>
      </c>
      <c r="R217" s="1" t="s">
        <v>48</v>
      </c>
      <c r="S217" s="1" t="s">
        <v>9667</v>
      </c>
      <c r="T217" s="1" t="s">
        <v>9668</v>
      </c>
      <c r="U217" s="1" t="s">
        <v>911</v>
      </c>
      <c r="V217" s="1">
        <v>2021</v>
      </c>
      <c r="W217" s="1">
        <v>16</v>
      </c>
      <c r="X217" s="1">
        <v>4</v>
      </c>
      <c r="Y217" s="1" t="s">
        <v>48</v>
      </c>
      <c r="Z217" s="1" t="s">
        <v>48</v>
      </c>
      <c r="AA217" s="1" t="s">
        <v>48</v>
      </c>
      <c r="AB217" s="1" t="s">
        <v>48</v>
      </c>
      <c r="AC217" s="1" t="s">
        <v>48</v>
      </c>
      <c r="AD217" s="1" t="s">
        <v>48</v>
      </c>
      <c r="AE217" s="1" t="s">
        <v>48</v>
      </c>
      <c r="AF217" s="1" t="s">
        <v>9669</v>
      </c>
      <c r="AG217" s="1" t="str">
        <f>HYPERLINK("http://dx.doi.org/10.2217/fvl-2020-0342","http://dx.doi.org/10.2217/fvl-2020-0342")</f>
        <v>http://dx.doi.org/10.2217/fvl-2020-0342</v>
      </c>
      <c r="AH217" s="1" t="s">
        <v>48</v>
      </c>
      <c r="AI217" s="1" t="s">
        <v>10618</v>
      </c>
      <c r="AJ217" s="1">
        <v>16</v>
      </c>
      <c r="AK217" s="1" t="s">
        <v>2914</v>
      </c>
      <c r="AL217" s="1" t="s">
        <v>67</v>
      </c>
      <c r="AM217" s="1" t="s">
        <v>2914</v>
      </c>
      <c r="AN217" s="1" t="s">
        <v>48</v>
      </c>
      <c r="AO217" s="1" t="s">
        <v>1325</v>
      </c>
      <c r="AP217" s="1" t="s">
        <v>48</v>
      </c>
      <c r="AQ217" s="1" t="s">
        <v>48</v>
      </c>
      <c r="AR217" s="1" t="s">
        <v>10610</v>
      </c>
    </row>
    <row r="218" spans="1:44" x14ac:dyDescent="0.45">
      <c r="A218" s="1" t="s">
        <v>9670</v>
      </c>
      <c r="B218" s="1" t="s">
        <v>9671</v>
      </c>
      <c r="C218" s="1" t="s">
        <v>357</v>
      </c>
      <c r="D218" s="1" t="s">
        <v>52</v>
      </c>
      <c r="E218" s="1" t="s">
        <v>53</v>
      </c>
      <c r="F218" s="1" t="s">
        <v>9672</v>
      </c>
      <c r="G218" s="1" t="s">
        <v>9673</v>
      </c>
      <c r="H218" s="1" t="s">
        <v>9674</v>
      </c>
      <c r="I218" s="1">
        <v>42</v>
      </c>
      <c r="J218" s="1">
        <v>3</v>
      </c>
      <c r="K218" s="1">
        <v>0</v>
      </c>
      <c r="L218" s="1">
        <v>3</v>
      </c>
      <c r="M218" s="1" t="s">
        <v>60</v>
      </c>
      <c r="N218" s="1" t="s">
        <v>158</v>
      </c>
      <c r="O218" s="1" t="s">
        <v>159</v>
      </c>
      <c r="P218" s="1" t="s">
        <v>48</v>
      </c>
      <c r="Q218" s="1" t="s">
        <v>363</v>
      </c>
      <c r="R218" s="1" t="s">
        <v>48</v>
      </c>
      <c r="S218" s="1" t="s">
        <v>357</v>
      </c>
      <c r="T218" s="1" t="s">
        <v>364</v>
      </c>
      <c r="U218" s="1" t="s">
        <v>962</v>
      </c>
      <c r="V218" s="1">
        <v>2021</v>
      </c>
      <c r="W218" s="1">
        <v>7</v>
      </c>
      <c r="X218" s="1">
        <v>2</v>
      </c>
      <c r="Y218" s="1" t="s">
        <v>48</v>
      </c>
      <c r="Z218" s="1" t="s">
        <v>48</v>
      </c>
      <c r="AA218" s="1" t="s">
        <v>48</v>
      </c>
      <c r="AB218" s="1" t="s">
        <v>48</v>
      </c>
      <c r="AC218" s="1" t="s">
        <v>48</v>
      </c>
      <c r="AD218" s="1" t="s">
        <v>48</v>
      </c>
      <c r="AE218" s="1" t="s">
        <v>9675</v>
      </c>
      <c r="AF218" s="1" t="s">
        <v>9676</v>
      </c>
      <c r="AG218" s="1" t="str">
        <f>HYPERLINK("http://dx.doi.org/10.1016/j.heliyon.2021.e06014","http://dx.doi.org/10.1016/j.heliyon.2021.e06014")</f>
        <v>http://dx.doi.org/10.1016/j.heliyon.2021.e06014</v>
      </c>
      <c r="AH218" s="1" t="s">
        <v>48</v>
      </c>
      <c r="AI218" s="1" t="s">
        <v>10617</v>
      </c>
      <c r="AJ218" s="1">
        <v>12</v>
      </c>
      <c r="AK218" s="1" t="s">
        <v>335</v>
      </c>
      <c r="AL218" s="1" t="s">
        <v>67</v>
      </c>
      <c r="AM218" s="1" t="s">
        <v>336</v>
      </c>
      <c r="AN218" s="1">
        <v>33659721</v>
      </c>
      <c r="AO218" s="1" t="s">
        <v>366</v>
      </c>
      <c r="AP218" s="1" t="s">
        <v>48</v>
      </c>
      <c r="AQ218" s="1" t="s">
        <v>48</v>
      </c>
      <c r="AR218" s="1" t="s">
        <v>10610</v>
      </c>
    </row>
    <row r="219" spans="1:44" x14ac:dyDescent="0.45">
      <c r="A219" s="1" t="s">
        <v>9677</v>
      </c>
      <c r="B219" s="1" t="s">
        <v>9678</v>
      </c>
      <c r="C219" s="1" t="s">
        <v>9679</v>
      </c>
      <c r="D219" s="1" t="s">
        <v>52</v>
      </c>
      <c r="E219" s="1" t="s">
        <v>53</v>
      </c>
      <c r="F219" s="1" t="s">
        <v>9680</v>
      </c>
      <c r="G219" s="1" t="s">
        <v>3791</v>
      </c>
      <c r="H219" s="1" t="s">
        <v>9681</v>
      </c>
      <c r="I219" s="1">
        <v>22</v>
      </c>
      <c r="J219" s="1">
        <v>1</v>
      </c>
      <c r="K219" s="1">
        <v>1</v>
      </c>
      <c r="L219" s="1">
        <v>12</v>
      </c>
      <c r="M219" s="1" t="s">
        <v>2360</v>
      </c>
      <c r="N219" s="1" t="s">
        <v>2361</v>
      </c>
      <c r="O219" s="1" t="s">
        <v>2362</v>
      </c>
      <c r="P219" s="1" t="s">
        <v>9682</v>
      </c>
      <c r="Q219" s="1" t="s">
        <v>9683</v>
      </c>
      <c r="R219" s="1" t="s">
        <v>48</v>
      </c>
      <c r="S219" s="1" t="s">
        <v>9684</v>
      </c>
      <c r="T219" s="1" t="s">
        <v>9685</v>
      </c>
      <c r="U219" s="1" t="s">
        <v>48</v>
      </c>
      <c r="V219" s="1">
        <v>2021</v>
      </c>
      <c r="W219" s="1">
        <v>17</v>
      </c>
      <c r="X219" s="1">
        <v>5</v>
      </c>
      <c r="Y219" s="1" t="s">
        <v>48</v>
      </c>
      <c r="Z219" s="1" t="s">
        <v>48</v>
      </c>
      <c r="AA219" s="1" t="s">
        <v>48</v>
      </c>
      <c r="AB219" s="1" t="s">
        <v>48</v>
      </c>
      <c r="AC219" s="1">
        <v>772</v>
      </c>
      <c r="AD219" s="1">
        <v>778</v>
      </c>
      <c r="AE219" s="1" t="s">
        <v>48</v>
      </c>
      <c r="AF219" s="1" t="s">
        <v>9686</v>
      </c>
      <c r="AG219" s="1" t="str">
        <f>HYPERLINK("http://dx.doi.org/10.2174/1573413716666201228155730","http://dx.doi.org/10.2174/1573413716666201228155730")</f>
        <v>http://dx.doi.org/10.2174/1573413716666201228155730</v>
      </c>
      <c r="AH219" s="1" t="s">
        <v>48</v>
      </c>
      <c r="AI219" s="1" t="s">
        <v>48</v>
      </c>
      <c r="AJ219" s="1">
        <v>7</v>
      </c>
      <c r="AK219" s="1" t="s">
        <v>9687</v>
      </c>
      <c r="AL219" s="1" t="s">
        <v>67</v>
      </c>
      <c r="AM219" s="1" t="s">
        <v>9688</v>
      </c>
      <c r="AN219" s="1" t="s">
        <v>48</v>
      </c>
      <c r="AO219" s="1" t="s">
        <v>48</v>
      </c>
      <c r="AP219" s="1" t="s">
        <v>48</v>
      </c>
      <c r="AQ219" s="1" t="s">
        <v>48</v>
      </c>
      <c r="AR219" s="1" t="s">
        <v>10610</v>
      </c>
    </row>
    <row r="220" spans="1:44" x14ac:dyDescent="0.45">
      <c r="A220" s="1" t="s">
        <v>9689</v>
      </c>
      <c r="B220" s="1" t="s">
        <v>9690</v>
      </c>
      <c r="C220" s="1" t="s">
        <v>9691</v>
      </c>
      <c r="D220" s="1" t="s">
        <v>52</v>
      </c>
      <c r="E220" s="1" t="s">
        <v>53</v>
      </c>
      <c r="F220" s="1" t="s">
        <v>9692</v>
      </c>
      <c r="G220" s="1" t="s">
        <v>9693</v>
      </c>
      <c r="H220" s="1" t="s">
        <v>9694</v>
      </c>
      <c r="I220" s="1">
        <v>40</v>
      </c>
      <c r="J220" s="1">
        <v>8</v>
      </c>
      <c r="K220" s="1">
        <v>1</v>
      </c>
      <c r="L220" s="1">
        <v>4</v>
      </c>
      <c r="M220" s="1" t="s">
        <v>132</v>
      </c>
      <c r="N220" s="1" t="s">
        <v>133</v>
      </c>
      <c r="O220" s="1" t="s">
        <v>134</v>
      </c>
      <c r="P220" s="1" t="s">
        <v>48</v>
      </c>
      <c r="Q220" s="1" t="s">
        <v>9695</v>
      </c>
      <c r="R220" s="1" t="s">
        <v>48</v>
      </c>
      <c r="S220" s="1" t="s">
        <v>9696</v>
      </c>
      <c r="T220" s="1" t="s">
        <v>9697</v>
      </c>
      <c r="U220" s="1" t="s">
        <v>86</v>
      </c>
      <c r="V220" s="1">
        <v>2021</v>
      </c>
      <c r="W220" s="1">
        <v>4</v>
      </c>
      <c r="X220" s="1">
        <v>4</v>
      </c>
      <c r="Y220" s="1" t="s">
        <v>48</v>
      </c>
      <c r="Z220" s="1" t="s">
        <v>48</v>
      </c>
      <c r="AA220" s="1" t="s">
        <v>48</v>
      </c>
      <c r="AB220" s="1" t="s">
        <v>48</v>
      </c>
      <c r="AC220" s="1" t="s">
        <v>48</v>
      </c>
      <c r="AD220" s="1" t="s">
        <v>48</v>
      </c>
      <c r="AE220" s="1">
        <v>81</v>
      </c>
      <c r="AF220" s="1" t="s">
        <v>9698</v>
      </c>
      <c r="AG220" s="1" t="str">
        <f>HYPERLINK("http://dx.doi.org/10.3390/asi4040081","http://dx.doi.org/10.3390/asi4040081")</f>
        <v>http://dx.doi.org/10.3390/asi4040081</v>
      </c>
      <c r="AH220" s="1" t="s">
        <v>48</v>
      </c>
      <c r="AI220" s="1" t="s">
        <v>48</v>
      </c>
      <c r="AJ220" s="1">
        <v>20</v>
      </c>
      <c r="AK220" s="1" t="s">
        <v>4281</v>
      </c>
      <c r="AL220" s="1" t="s">
        <v>124</v>
      </c>
      <c r="AM220" s="1" t="s">
        <v>4282</v>
      </c>
      <c r="AN220" s="1" t="s">
        <v>48</v>
      </c>
      <c r="AO220" s="1" t="s">
        <v>125</v>
      </c>
      <c r="AP220" s="1" t="s">
        <v>48</v>
      </c>
      <c r="AQ220" s="1" t="s">
        <v>48</v>
      </c>
      <c r="AR220" s="1" t="s">
        <v>10610</v>
      </c>
    </row>
    <row r="221" spans="1:44" x14ac:dyDescent="0.45">
      <c r="A221" s="1" t="s">
        <v>9720</v>
      </c>
      <c r="B221" s="1" t="s">
        <v>9721</v>
      </c>
      <c r="C221" s="1" t="s">
        <v>9722</v>
      </c>
      <c r="D221" s="1" t="s">
        <v>52</v>
      </c>
      <c r="E221" s="1" t="s">
        <v>53</v>
      </c>
      <c r="F221" s="1" t="s">
        <v>9723</v>
      </c>
      <c r="G221" s="1" t="s">
        <v>9724</v>
      </c>
      <c r="H221" s="1" t="s">
        <v>9725</v>
      </c>
      <c r="I221" s="1">
        <v>33</v>
      </c>
      <c r="J221" s="1">
        <v>4</v>
      </c>
      <c r="K221" s="1">
        <v>3</v>
      </c>
      <c r="L221" s="1">
        <v>5</v>
      </c>
      <c r="M221" s="1" t="s">
        <v>2469</v>
      </c>
      <c r="N221" s="1" t="s">
        <v>504</v>
      </c>
      <c r="O221" s="1" t="s">
        <v>2470</v>
      </c>
      <c r="P221" s="1" t="s">
        <v>9726</v>
      </c>
      <c r="Q221" s="1" t="s">
        <v>9727</v>
      </c>
      <c r="R221" s="1" t="s">
        <v>48</v>
      </c>
      <c r="S221" s="1" t="s">
        <v>9728</v>
      </c>
      <c r="T221" s="1" t="s">
        <v>9729</v>
      </c>
      <c r="U221" s="1" t="s">
        <v>386</v>
      </c>
      <c r="V221" s="1">
        <v>2021</v>
      </c>
      <c r="W221" s="1">
        <v>61</v>
      </c>
      <c r="X221" s="1">
        <v>1</v>
      </c>
      <c r="Y221" s="1" t="s">
        <v>48</v>
      </c>
      <c r="Z221" s="1" t="s">
        <v>48</v>
      </c>
      <c r="AA221" s="1" t="s">
        <v>48</v>
      </c>
      <c r="AB221" s="1" t="s">
        <v>48</v>
      </c>
      <c r="AC221" s="1">
        <v>166</v>
      </c>
      <c r="AD221" s="1">
        <v>174</v>
      </c>
      <c r="AE221" s="1" t="s">
        <v>48</v>
      </c>
      <c r="AF221" s="1" t="s">
        <v>9730</v>
      </c>
      <c r="AG221" s="1" t="str">
        <f>HYPERLINK("http://dx.doi.org/10.1134/S0032945221010033","http://dx.doi.org/10.1134/S0032945221010033")</f>
        <v>http://dx.doi.org/10.1134/S0032945221010033</v>
      </c>
      <c r="AH221" s="1" t="s">
        <v>48</v>
      </c>
      <c r="AI221" s="1" t="s">
        <v>48</v>
      </c>
      <c r="AJ221" s="1">
        <v>9</v>
      </c>
      <c r="AK221" s="1" t="s">
        <v>9731</v>
      </c>
      <c r="AL221" s="1" t="s">
        <v>67</v>
      </c>
      <c r="AM221" s="1" t="s">
        <v>9731</v>
      </c>
      <c r="AN221" s="1" t="s">
        <v>48</v>
      </c>
      <c r="AO221" s="1" t="s">
        <v>48</v>
      </c>
      <c r="AP221" s="1" t="s">
        <v>48</v>
      </c>
      <c r="AQ221" s="1" t="s">
        <v>48</v>
      </c>
      <c r="AR221" s="1" t="s">
        <v>10610</v>
      </c>
    </row>
    <row r="222" spans="1:44" x14ac:dyDescent="0.45">
      <c r="A222" s="1" t="s">
        <v>9708</v>
      </c>
      <c r="B222" s="1" t="s">
        <v>9709</v>
      </c>
      <c r="C222" s="1" t="s">
        <v>9710</v>
      </c>
      <c r="D222" s="1" t="s">
        <v>52</v>
      </c>
      <c r="E222" s="1" t="s">
        <v>53</v>
      </c>
      <c r="F222" s="1" t="s">
        <v>9711</v>
      </c>
      <c r="G222" s="1" t="s">
        <v>6261</v>
      </c>
      <c r="H222" s="1" t="s">
        <v>9712</v>
      </c>
      <c r="I222" s="1">
        <v>27</v>
      </c>
      <c r="J222" s="1">
        <v>12</v>
      </c>
      <c r="K222" s="1">
        <v>1</v>
      </c>
      <c r="L222" s="1">
        <v>11</v>
      </c>
      <c r="M222" s="1" t="s">
        <v>503</v>
      </c>
      <c r="N222" s="1" t="s">
        <v>504</v>
      </c>
      <c r="O222" s="1" t="s">
        <v>505</v>
      </c>
      <c r="P222" s="1" t="s">
        <v>9713</v>
      </c>
      <c r="Q222" s="1" t="s">
        <v>9714</v>
      </c>
      <c r="R222" s="1" t="s">
        <v>48</v>
      </c>
      <c r="S222" s="1" t="s">
        <v>9715</v>
      </c>
      <c r="T222" s="1" t="s">
        <v>9716</v>
      </c>
      <c r="U222" s="1" t="s">
        <v>911</v>
      </c>
      <c r="V222" s="1">
        <v>2021</v>
      </c>
      <c r="W222" s="1">
        <v>41</v>
      </c>
      <c r="X222" s="1">
        <v>2</v>
      </c>
      <c r="Y222" s="1" t="s">
        <v>48</v>
      </c>
      <c r="Z222" s="1" t="s">
        <v>48</v>
      </c>
      <c r="AA222" s="1" t="s">
        <v>48</v>
      </c>
      <c r="AB222" s="1" t="s">
        <v>48</v>
      </c>
      <c r="AC222" s="1">
        <v>148</v>
      </c>
      <c r="AD222" s="1">
        <v>162</v>
      </c>
      <c r="AE222" s="1" t="s">
        <v>48</v>
      </c>
      <c r="AF222" s="1" t="s">
        <v>9717</v>
      </c>
      <c r="AG222" s="1" t="str">
        <f>HYPERLINK("http://dx.doi.org/10.1007/s11107-020-00923-7","http://dx.doi.org/10.1007/s11107-020-00923-7")</f>
        <v>http://dx.doi.org/10.1007/s11107-020-00923-7</v>
      </c>
      <c r="AH222" s="1" t="s">
        <v>48</v>
      </c>
      <c r="AI222" s="1" t="s">
        <v>10619</v>
      </c>
      <c r="AJ222" s="1">
        <v>15</v>
      </c>
      <c r="AK222" s="1" t="s">
        <v>9718</v>
      </c>
      <c r="AL222" s="1" t="s">
        <v>67</v>
      </c>
      <c r="AM222" s="1" t="s">
        <v>9719</v>
      </c>
      <c r="AN222" s="1" t="s">
        <v>48</v>
      </c>
      <c r="AO222" s="1" t="s">
        <v>48</v>
      </c>
      <c r="AP222" s="1" t="s">
        <v>48</v>
      </c>
      <c r="AQ222" s="1" t="s">
        <v>48</v>
      </c>
      <c r="AR222" s="1" t="s">
        <v>10610</v>
      </c>
    </row>
    <row r="223" spans="1:44" x14ac:dyDescent="0.45">
      <c r="A223" s="1" t="s">
        <v>9699</v>
      </c>
      <c r="B223" s="1" t="s">
        <v>9700</v>
      </c>
      <c r="C223" s="1" t="s">
        <v>9701</v>
      </c>
      <c r="D223" s="1" t="s">
        <v>52</v>
      </c>
      <c r="E223" s="1" t="s">
        <v>53</v>
      </c>
      <c r="F223" s="1" t="s">
        <v>9702</v>
      </c>
      <c r="G223" s="1" t="s">
        <v>58</v>
      </c>
      <c r="H223" s="1" t="s">
        <v>9703</v>
      </c>
      <c r="I223" s="1">
        <v>69</v>
      </c>
      <c r="J223" s="1">
        <v>4</v>
      </c>
      <c r="K223" s="1">
        <v>0</v>
      </c>
      <c r="L223" s="1">
        <v>22</v>
      </c>
      <c r="M223" s="1" t="s">
        <v>347</v>
      </c>
      <c r="N223" s="1" t="s">
        <v>348</v>
      </c>
      <c r="O223" s="1" t="s">
        <v>349</v>
      </c>
      <c r="P223" s="1" t="s">
        <v>9704</v>
      </c>
      <c r="Q223" s="1" t="s">
        <v>9705</v>
      </c>
      <c r="R223" s="1" t="s">
        <v>48</v>
      </c>
      <c r="S223" s="1" t="s">
        <v>9701</v>
      </c>
      <c r="T223" s="1" t="s">
        <v>9706</v>
      </c>
      <c r="U223" s="1" t="s">
        <v>243</v>
      </c>
      <c r="V223" s="1">
        <v>2022</v>
      </c>
      <c r="W223" s="1">
        <v>24</v>
      </c>
      <c r="X223" s="1">
        <v>4</v>
      </c>
      <c r="Y223" s="1" t="s">
        <v>48</v>
      </c>
      <c r="Z223" s="1" t="s">
        <v>48</v>
      </c>
      <c r="AA223" s="1" t="s">
        <v>1260</v>
      </c>
      <c r="AB223" s="1" t="s">
        <v>48</v>
      </c>
      <c r="AC223" s="1">
        <v>602</v>
      </c>
      <c r="AD223" s="1">
        <v>617</v>
      </c>
      <c r="AE223" s="1" t="s">
        <v>48</v>
      </c>
      <c r="AF223" s="1" t="s">
        <v>9707</v>
      </c>
      <c r="AG223" s="1" t="str">
        <f>HYPERLINK("http://dx.doi.org/10.1111/plb.13378","http://dx.doi.org/10.1111/plb.13378")</f>
        <v>http://dx.doi.org/10.1111/plb.13378</v>
      </c>
      <c r="AH223" s="1" t="s">
        <v>48</v>
      </c>
      <c r="AI223" s="1" t="s">
        <v>10614</v>
      </c>
      <c r="AJ223" s="1">
        <v>16</v>
      </c>
      <c r="AK223" s="1" t="s">
        <v>426</v>
      </c>
      <c r="AL223" s="1" t="s">
        <v>67</v>
      </c>
      <c r="AM223" s="1" t="s">
        <v>426</v>
      </c>
      <c r="AN223" s="1">
        <v>34939301</v>
      </c>
      <c r="AO223" s="1" t="s">
        <v>48</v>
      </c>
      <c r="AP223" s="1" t="s">
        <v>48</v>
      </c>
      <c r="AQ223" s="1" t="s">
        <v>48</v>
      </c>
      <c r="AR223" s="1" t="s">
        <v>10610</v>
      </c>
    </row>
    <row r="224" spans="1:44" x14ac:dyDescent="0.45">
      <c r="A224" s="1" t="s">
        <v>9749</v>
      </c>
      <c r="B224" s="1" t="s">
        <v>9750</v>
      </c>
      <c r="C224" s="1" t="s">
        <v>9751</v>
      </c>
      <c r="D224" s="1" t="s">
        <v>52</v>
      </c>
      <c r="E224" s="1" t="s">
        <v>53</v>
      </c>
      <c r="F224" s="1" t="s">
        <v>9752</v>
      </c>
      <c r="G224" s="1" t="s">
        <v>9753</v>
      </c>
      <c r="H224" s="1" t="s">
        <v>9754</v>
      </c>
      <c r="I224" s="1">
        <v>74</v>
      </c>
      <c r="J224" s="1">
        <v>2</v>
      </c>
      <c r="K224" s="1">
        <v>0</v>
      </c>
      <c r="L224" s="1">
        <v>5</v>
      </c>
      <c r="M224" s="1" t="s">
        <v>285</v>
      </c>
      <c r="N224" s="1" t="s">
        <v>286</v>
      </c>
      <c r="O224" s="1" t="s">
        <v>287</v>
      </c>
      <c r="P224" s="1" t="s">
        <v>9755</v>
      </c>
      <c r="Q224" s="1" t="s">
        <v>9756</v>
      </c>
      <c r="R224" s="1" t="s">
        <v>48</v>
      </c>
      <c r="S224" s="1" t="s">
        <v>9757</v>
      </c>
      <c r="T224" s="1" t="s">
        <v>9758</v>
      </c>
      <c r="U224" s="1" t="s">
        <v>598</v>
      </c>
      <c r="V224" s="1">
        <v>2021</v>
      </c>
      <c r="W224" s="1">
        <v>166</v>
      </c>
      <c r="X224" s="1">
        <v>8</v>
      </c>
      <c r="Y224" s="1" t="s">
        <v>48</v>
      </c>
      <c r="Z224" s="1" t="s">
        <v>48</v>
      </c>
      <c r="AA224" s="1" t="s">
        <v>48</v>
      </c>
      <c r="AB224" s="1" t="s">
        <v>48</v>
      </c>
      <c r="AC224" s="1">
        <v>2187</v>
      </c>
      <c r="AD224" s="1">
        <v>2198</v>
      </c>
      <c r="AE224" s="1" t="s">
        <v>48</v>
      </c>
      <c r="AF224" s="1" t="s">
        <v>9759</v>
      </c>
      <c r="AG224" s="1" t="str">
        <f>HYPERLINK("http://dx.doi.org/10.1007/s00705-021-05093-z","http://dx.doi.org/10.1007/s00705-021-05093-z")</f>
        <v>http://dx.doi.org/10.1007/s00705-021-05093-z</v>
      </c>
      <c r="AH224" s="1" t="s">
        <v>48</v>
      </c>
      <c r="AI224" s="1" t="s">
        <v>10613</v>
      </c>
      <c r="AJ224" s="1">
        <v>12</v>
      </c>
      <c r="AK224" s="1" t="s">
        <v>2914</v>
      </c>
      <c r="AL224" s="1" t="s">
        <v>67</v>
      </c>
      <c r="AM224" s="1" t="s">
        <v>2914</v>
      </c>
      <c r="AN224" s="1">
        <v>34041610</v>
      </c>
      <c r="AO224" s="1" t="s">
        <v>48</v>
      </c>
      <c r="AP224" s="1" t="s">
        <v>48</v>
      </c>
      <c r="AQ224" s="1" t="s">
        <v>48</v>
      </c>
      <c r="AR224" s="1" t="s">
        <v>10610</v>
      </c>
    </row>
    <row r="225" spans="1:44" x14ac:dyDescent="0.45">
      <c r="A225" s="1" t="s">
        <v>9732</v>
      </c>
      <c r="B225" s="1" t="s">
        <v>9733</v>
      </c>
      <c r="C225" s="1" t="s">
        <v>7491</v>
      </c>
      <c r="D225" s="1" t="s">
        <v>52</v>
      </c>
      <c r="E225" s="1" t="s">
        <v>53</v>
      </c>
      <c r="F225" s="1" t="s">
        <v>9734</v>
      </c>
      <c r="G225" s="1" t="s">
        <v>4648</v>
      </c>
      <c r="H225" s="1" t="s">
        <v>431</v>
      </c>
      <c r="I225" s="1">
        <v>50</v>
      </c>
      <c r="J225" s="1">
        <v>151</v>
      </c>
      <c r="K225" s="1">
        <v>59</v>
      </c>
      <c r="L225" s="1">
        <v>181</v>
      </c>
      <c r="M225" s="1" t="s">
        <v>79</v>
      </c>
      <c r="N225" s="1" t="s">
        <v>80</v>
      </c>
      <c r="O225" s="1" t="s">
        <v>81</v>
      </c>
      <c r="P225" s="1" t="s">
        <v>7495</v>
      </c>
      <c r="Q225" s="1" t="s">
        <v>7496</v>
      </c>
      <c r="R225" s="1" t="s">
        <v>48</v>
      </c>
      <c r="S225" s="1" t="s">
        <v>7497</v>
      </c>
      <c r="T225" s="1" t="s">
        <v>7498</v>
      </c>
      <c r="U225" s="1" t="s">
        <v>352</v>
      </c>
      <c r="V225" s="1">
        <v>2021</v>
      </c>
      <c r="W225" s="1">
        <v>74</v>
      </c>
      <c r="X225" s="1" t="s">
        <v>48</v>
      </c>
      <c r="Y225" s="1" t="s">
        <v>48</v>
      </c>
      <c r="Z225" s="1" t="s">
        <v>48</v>
      </c>
      <c r="AA225" s="1" t="s">
        <v>48</v>
      </c>
      <c r="AB225" s="1" t="s">
        <v>48</v>
      </c>
      <c r="AC225" s="1" t="s">
        <v>48</v>
      </c>
      <c r="AD225" s="1" t="s">
        <v>48</v>
      </c>
      <c r="AE225" s="1">
        <v>103186</v>
      </c>
      <c r="AF225" s="1" t="s">
        <v>9735</v>
      </c>
      <c r="AG225" s="1" t="str">
        <f>HYPERLINK("http://dx.doi.org/10.1016/j.scs.2021.103186","http://dx.doi.org/10.1016/j.scs.2021.103186")</f>
        <v>http://dx.doi.org/10.1016/j.scs.2021.103186</v>
      </c>
      <c r="AH225" s="1" t="s">
        <v>48</v>
      </c>
      <c r="AI225" s="1" t="s">
        <v>10623</v>
      </c>
      <c r="AJ225" s="1">
        <v>18</v>
      </c>
      <c r="AK225" s="1" t="s">
        <v>7500</v>
      </c>
      <c r="AL225" s="1" t="s">
        <v>67</v>
      </c>
      <c r="AM225" s="1" t="s">
        <v>7501</v>
      </c>
      <c r="AN225" s="1" t="s">
        <v>48</v>
      </c>
      <c r="AO225" s="1" t="s">
        <v>48</v>
      </c>
      <c r="AP225" s="1" t="s">
        <v>48</v>
      </c>
      <c r="AQ225" s="1" t="s">
        <v>48</v>
      </c>
      <c r="AR225" s="1" t="s">
        <v>10610</v>
      </c>
    </row>
    <row r="226" spans="1:44" x14ac:dyDescent="0.45">
      <c r="A226" s="1" t="s">
        <v>9736</v>
      </c>
      <c r="B226" s="1" t="s">
        <v>9737</v>
      </c>
      <c r="C226" s="1" t="s">
        <v>9738</v>
      </c>
      <c r="D226" s="1" t="s">
        <v>52</v>
      </c>
      <c r="E226" s="1" t="s">
        <v>53</v>
      </c>
      <c r="F226" s="1" t="s">
        <v>9739</v>
      </c>
      <c r="G226" s="1" t="s">
        <v>9740</v>
      </c>
      <c r="H226" s="1" t="s">
        <v>9741</v>
      </c>
      <c r="I226" s="1">
        <v>30</v>
      </c>
      <c r="J226" s="1">
        <v>6</v>
      </c>
      <c r="K226" s="1">
        <v>0</v>
      </c>
      <c r="L226" s="1">
        <v>5</v>
      </c>
      <c r="M226" s="1" t="s">
        <v>215</v>
      </c>
      <c r="N226" s="1" t="s">
        <v>158</v>
      </c>
      <c r="O226" s="1" t="s">
        <v>216</v>
      </c>
      <c r="P226" s="1" t="s">
        <v>9742</v>
      </c>
      <c r="Q226" s="1" t="s">
        <v>9743</v>
      </c>
      <c r="R226" s="1" t="s">
        <v>48</v>
      </c>
      <c r="S226" s="1" t="s">
        <v>9744</v>
      </c>
      <c r="T226" s="1" t="s">
        <v>9745</v>
      </c>
      <c r="U226" s="1" t="s">
        <v>598</v>
      </c>
      <c r="V226" s="1">
        <v>2021</v>
      </c>
      <c r="W226" s="1">
        <v>135</v>
      </c>
      <c r="X226" s="1" t="s">
        <v>48</v>
      </c>
      <c r="Y226" s="1" t="s">
        <v>48</v>
      </c>
      <c r="Z226" s="1" t="s">
        <v>48</v>
      </c>
      <c r="AA226" s="1" t="s">
        <v>48</v>
      </c>
      <c r="AB226" s="1" t="s">
        <v>48</v>
      </c>
      <c r="AC226" s="1" t="s">
        <v>48</v>
      </c>
      <c r="AD226" s="1" t="s">
        <v>48</v>
      </c>
      <c r="AE226" s="1">
        <v>104595</v>
      </c>
      <c r="AF226" s="1" t="s">
        <v>9746</v>
      </c>
      <c r="AG226" s="1" t="str">
        <f>HYPERLINK("http://dx.doi.org/10.1016/j.compbiomed.2021.104595","http://dx.doi.org/10.1016/j.compbiomed.2021.104595")</f>
        <v>http://dx.doi.org/10.1016/j.compbiomed.2021.104595</v>
      </c>
      <c r="AH226" s="1" t="s">
        <v>48</v>
      </c>
      <c r="AI226" s="1" t="s">
        <v>10611</v>
      </c>
      <c r="AJ226" s="1">
        <v>13</v>
      </c>
      <c r="AK226" s="1" t="s">
        <v>9747</v>
      </c>
      <c r="AL226" s="1" t="s">
        <v>67</v>
      </c>
      <c r="AM226" s="1" t="s">
        <v>9748</v>
      </c>
      <c r="AN226" s="1">
        <v>34216890</v>
      </c>
      <c r="AO226" s="1" t="s">
        <v>48</v>
      </c>
      <c r="AP226" s="1" t="s">
        <v>48</v>
      </c>
      <c r="AQ226" s="1" t="s">
        <v>48</v>
      </c>
      <c r="AR226" s="1" t="s">
        <v>10610</v>
      </c>
    </row>
    <row r="227" spans="1:44" x14ac:dyDescent="0.45">
      <c r="A227" s="1" t="s">
        <v>9760</v>
      </c>
      <c r="B227" s="1" t="s">
        <v>9761</v>
      </c>
      <c r="C227" s="1" t="s">
        <v>4553</v>
      </c>
      <c r="D227" s="1" t="s">
        <v>52</v>
      </c>
      <c r="E227" s="1" t="s">
        <v>53</v>
      </c>
      <c r="F227" s="1" t="s">
        <v>9762</v>
      </c>
      <c r="G227" s="1" t="s">
        <v>9763</v>
      </c>
      <c r="H227" s="1" t="s">
        <v>9764</v>
      </c>
      <c r="I227" s="1">
        <v>34</v>
      </c>
      <c r="J227" s="1">
        <v>11</v>
      </c>
      <c r="K227" s="1">
        <v>0</v>
      </c>
      <c r="L227" s="1">
        <v>1</v>
      </c>
      <c r="M227" s="1" t="s">
        <v>347</v>
      </c>
      <c r="N227" s="1" t="s">
        <v>348</v>
      </c>
      <c r="O227" s="1" t="s">
        <v>349</v>
      </c>
      <c r="P227" s="1" t="s">
        <v>4557</v>
      </c>
      <c r="Q227" s="1" t="s">
        <v>4558</v>
      </c>
      <c r="R227" s="1" t="s">
        <v>48</v>
      </c>
      <c r="S227" s="1" t="s">
        <v>4559</v>
      </c>
      <c r="T227" s="1" t="s">
        <v>4560</v>
      </c>
      <c r="U227" s="1" t="s">
        <v>10640</v>
      </c>
      <c r="V227" s="1">
        <v>2021</v>
      </c>
      <c r="W227" s="1">
        <v>2021</v>
      </c>
      <c r="X227" s="1" t="s">
        <v>48</v>
      </c>
      <c r="Y227" s="1" t="s">
        <v>48</v>
      </c>
      <c r="Z227" s="1" t="s">
        <v>48</v>
      </c>
      <c r="AA227" s="1" t="s">
        <v>48</v>
      </c>
      <c r="AB227" s="1" t="s">
        <v>48</v>
      </c>
      <c r="AC227" s="1" t="s">
        <v>48</v>
      </c>
      <c r="AD227" s="1" t="s">
        <v>48</v>
      </c>
      <c r="AE227" s="1">
        <v>9411696</v>
      </c>
      <c r="AF227" s="1" t="s">
        <v>9765</v>
      </c>
      <c r="AG227" s="1" t="str">
        <f>HYPERLINK("http://dx.doi.org/10.1155/2021/9411696","http://dx.doi.org/10.1155/2021/9411696")</f>
        <v>http://dx.doi.org/10.1155/2021/9411696</v>
      </c>
      <c r="AH227" s="1" t="s">
        <v>48</v>
      </c>
      <c r="AI227" s="1" t="s">
        <v>48</v>
      </c>
      <c r="AJ227" s="1">
        <v>8</v>
      </c>
      <c r="AK227" s="1" t="s">
        <v>137</v>
      </c>
      <c r="AL227" s="1" t="s">
        <v>67</v>
      </c>
      <c r="AM227" s="1" t="s">
        <v>137</v>
      </c>
      <c r="AN227" s="1" t="s">
        <v>48</v>
      </c>
      <c r="AO227" s="1" t="s">
        <v>125</v>
      </c>
      <c r="AP227" s="1" t="s">
        <v>48</v>
      </c>
      <c r="AQ227" s="1" t="s">
        <v>48</v>
      </c>
      <c r="AR227" s="1" t="s">
        <v>10610</v>
      </c>
    </row>
    <row r="228" spans="1:44" x14ac:dyDescent="0.45">
      <c r="A228" s="1" t="s">
        <v>9766</v>
      </c>
      <c r="B228" s="1" t="s">
        <v>9767</v>
      </c>
      <c r="C228" s="1" t="s">
        <v>571</v>
      </c>
      <c r="D228" s="1" t="s">
        <v>52</v>
      </c>
      <c r="E228" s="1" t="s">
        <v>53</v>
      </c>
      <c r="F228" s="1" t="s">
        <v>9768</v>
      </c>
      <c r="G228" s="1" t="s">
        <v>5698</v>
      </c>
      <c r="H228" s="1" t="s">
        <v>227</v>
      </c>
      <c r="I228" s="1">
        <v>57</v>
      </c>
      <c r="J228" s="1">
        <v>21</v>
      </c>
      <c r="K228" s="1">
        <v>1</v>
      </c>
      <c r="L228" s="1">
        <v>5</v>
      </c>
      <c r="M228" s="1" t="s">
        <v>572</v>
      </c>
      <c r="N228" s="1" t="s">
        <v>573</v>
      </c>
      <c r="O228" s="1" t="s">
        <v>574</v>
      </c>
      <c r="P228" s="1" t="s">
        <v>575</v>
      </c>
      <c r="Q228" s="1" t="s">
        <v>576</v>
      </c>
      <c r="R228" s="1" t="s">
        <v>48</v>
      </c>
      <c r="S228" s="1" t="s">
        <v>577</v>
      </c>
      <c r="T228" s="1" t="s">
        <v>578</v>
      </c>
      <c r="U228" s="1" t="s">
        <v>10641</v>
      </c>
      <c r="V228" s="1">
        <v>2021</v>
      </c>
      <c r="W228" s="1">
        <v>55</v>
      </c>
      <c r="X228" s="1">
        <v>3</v>
      </c>
      <c r="Y228" s="1" t="s">
        <v>48</v>
      </c>
      <c r="Z228" s="1" t="s">
        <v>48</v>
      </c>
      <c r="AA228" s="1" t="s">
        <v>48</v>
      </c>
      <c r="AB228" s="1" t="s">
        <v>48</v>
      </c>
      <c r="AC228" s="1">
        <v>1715</v>
      </c>
      <c r="AD228" s="1">
        <v>1741</v>
      </c>
      <c r="AE228" s="1" t="s">
        <v>48</v>
      </c>
      <c r="AF228" s="1" t="s">
        <v>9769</v>
      </c>
      <c r="AG228" s="1" t="str">
        <f>HYPERLINK("http://dx.doi.org/10.1051/ro/2021078","http://dx.doi.org/10.1051/ro/2021078")</f>
        <v>http://dx.doi.org/10.1051/ro/2021078</v>
      </c>
      <c r="AH228" s="1" t="s">
        <v>48</v>
      </c>
      <c r="AI228" s="1" t="s">
        <v>48</v>
      </c>
      <c r="AJ228" s="1">
        <v>27</v>
      </c>
      <c r="AK228" s="1" t="s">
        <v>580</v>
      </c>
      <c r="AL228" s="1" t="s">
        <v>67</v>
      </c>
      <c r="AM228" s="1" t="s">
        <v>580</v>
      </c>
      <c r="AN228" s="1" t="s">
        <v>48</v>
      </c>
      <c r="AO228" s="1" t="s">
        <v>581</v>
      </c>
      <c r="AP228" s="1" t="s">
        <v>48</v>
      </c>
      <c r="AQ228" s="1" t="s">
        <v>48</v>
      </c>
      <c r="AR228" s="1" t="s">
        <v>10610</v>
      </c>
    </row>
    <row r="229" spans="1:44" x14ac:dyDescent="0.45">
      <c r="A229" s="1" t="s">
        <v>9796</v>
      </c>
      <c r="B229" s="1" t="s">
        <v>9797</v>
      </c>
      <c r="C229" s="1" t="s">
        <v>9798</v>
      </c>
      <c r="D229" s="1" t="s">
        <v>52</v>
      </c>
      <c r="E229" s="1" t="s">
        <v>53</v>
      </c>
      <c r="F229" s="1" t="s">
        <v>9799</v>
      </c>
      <c r="G229" s="1" t="s">
        <v>9800</v>
      </c>
      <c r="H229" s="1" t="s">
        <v>9801</v>
      </c>
      <c r="I229" s="1">
        <v>5</v>
      </c>
      <c r="J229" s="1">
        <v>6</v>
      </c>
      <c r="K229" s="1">
        <v>0</v>
      </c>
      <c r="L229" s="1">
        <v>0</v>
      </c>
      <c r="M229" s="1" t="s">
        <v>347</v>
      </c>
      <c r="N229" s="1" t="s">
        <v>348</v>
      </c>
      <c r="O229" s="1" t="s">
        <v>349</v>
      </c>
      <c r="P229" s="1" t="s">
        <v>9802</v>
      </c>
      <c r="Q229" s="1" t="s">
        <v>9803</v>
      </c>
      <c r="R229" s="1" t="s">
        <v>48</v>
      </c>
      <c r="S229" s="1" t="s">
        <v>9804</v>
      </c>
      <c r="T229" s="1" t="s">
        <v>9805</v>
      </c>
      <c r="U229" s="1" t="s">
        <v>962</v>
      </c>
      <c r="V229" s="1">
        <v>2022</v>
      </c>
      <c r="W229" s="1">
        <v>111</v>
      </c>
      <c r="X229" s="1">
        <v>2</v>
      </c>
      <c r="Y229" s="1" t="s">
        <v>48</v>
      </c>
      <c r="Z229" s="1" t="s">
        <v>48</v>
      </c>
      <c r="AA229" s="1" t="s">
        <v>48</v>
      </c>
      <c r="AB229" s="1" t="s">
        <v>48</v>
      </c>
      <c r="AC229" s="1">
        <v>336</v>
      </c>
      <c r="AD229" s="1">
        <v>337</v>
      </c>
      <c r="AE229" s="1" t="s">
        <v>48</v>
      </c>
      <c r="AF229" s="1" t="s">
        <v>9806</v>
      </c>
      <c r="AG229" s="1" t="str">
        <f>HYPERLINK("http://dx.doi.org/10.1111/apa.16122","http://dx.doi.org/10.1111/apa.16122")</f>
        <v>http://dx.doi.org/10.1111/apa.16122</v>
      </c>
      <c r="AH229" s="1" t="s">
        <v>48</v>
      </c>
      <c r="AI229" s="1" t="s">
        <v>10615</v>
      </c>
      <c r="AJ229" s="1">
        <v>2</v>
      </c>
      <c r="AK229" s="1" t="s">
        <v>8050</v>
      </c>
      <c r="AL229" s="1" t="s">
        <v>67</v>
      </c>
      <c r="AM229" s="1" t="s">
        <v>8050</v>
      </c>
      <c r="AN229" s="1">
        <v>34555217</v>
      </c>
      <c r="AO229" s="1" t="s">
        <v>48</v>
      </c>
      <c r="AP229" s="1" t="s">
        <v>48</v>
      </c>
      <c r="AQ229" s="1" t="s">
        <v>48</v>
      </c>
      <c r="AR229" s="1" t="s">
        <v>10610</v>
      </c>
    </row>
    <row r="230" spans="1:44" x14ac:dyDescent="0.45">
      <c r="A230" s="1" t="s">
        <v>9770</v>
      </c>
      <c r="B230" s="1" t="s">
        <v>9771</v>
      </c>
      <c r="C230" s="1" t="s">
        <v>904</v>
      </c>
      <c r="D230" s="1" t="s">
        <v>52</v>
      </c>
      <c r="E230" s="1" t="s">
        <v>53</v>
      </c>
      <c r="F230" s="1" t="s">
        <v>9772</v>
      </c>
      <c r="G230" s="1" t="s">
        <v>9773</v>
      </c>
      <c r="H230" s="1" t="s">
        <v>9774</v>
      </c>
      <c r="I230" s="1">
        <v>79</v>
      </c>
      <c r="J230" s="1">
        <v>5</v>
      </c>
      <c r="K230" s="1">
        <v>5</v>
      </c>
      <c r="L230" s="1">
        <v>14</v>
      </c>
      <c r="M230" s="1" t="s">
        <v>503</v>
      </c>
      <c r="N230" s="1" t="s">
        <v>542</v>
      </c>
      <c r="O230" s="1" t="s">
        <v>543</v>
      </c>
      <c r="P230" s="1" t="s">
        <v>907</v>
      </c>
      <c r="Q230" s="1" t="s">
        <v>908</v>
      </c>
      <c r="R230" s="1" t="s">
        <v>48</v>
      </c>
      <c r="S230" s="1" t="s">
        <v>909</v>
      </c>
      <c r="T230" s="1" t="s">
        <v>910</v>
      </c>
      <c r="U230" s="1" t="s">
        <v>598</v>
      </c>
      <c r="V230" s="1">
        <v>2021</v>
      </c>
      <c r="W230" s="1">
        <v>193</v>
      </c>
      <c r="X230" s="1">
        <v>8</v>
      </c>
      <c r="Y230" s="1" t="s">
        <v>48</v>
      </c>
      <c r="Z230" s="1" t="s">
        <v>48</v>
      </c>
      <c r="AA230" s="1" t="s">
        <v>48</v>
      </c>
      <c r="AB230" s="1" t="s">
        <v>48</v>
      </c>
      <c r="AC230" s="1" t="s">
        <v>48</v>
      </c>
      <c r="AD230" s="1" t="s">
        <v>48</v>
      </c>
      <c r="AE230" s="1">
        <v>518</v>
      </c>
      <c r="AF230" s="1" t="s">
        <v>9775</v>
      </c>
      <c r="AG230" s="1" t="str">
        <f>HYPERLINK("http://dx.doi.org/10.1007/s10661-021-09284-8","http://dx.doi.org/10.1007/s10661-021-09284-8")</f>
        <v>http://dx.doi.org/10.1007/s10661-021-09284-8</v>
      </c>
      <c r="AH230" s="1" t="s">
        <v>48</v>
      </c>
      <c r="AI230" s="1" t="s">
        <v>48</v>
      </c>
      <c r="AJ230" s="1">
        <v>21</v>
      </c>
      <c r="AK230" s="1" t="s">
        <v>438</v>
      </c>
      <c r="AL230" s="1" t="s">
        <v>67</v>
      </c>
      <c r="AM230" s="1" t="s">
        <v>439</v>
      </c>
      <c r="AN230" s="1">
        <v>34312714</v>
      </c>
      <c r="AO230" s="1" t="s">
        <v>48</v>
      </c>
      <c r="AP230" s="1" t="s">
        <v>48</v>
      </c>
      <c r="AQ230" s="1" t="s">
        <v>48</v>
      </c>
      <c r="AR230" s="1" t="s">
        <v>10610</v>
      </c>
    </row>
    <row r="231" spans="1:44" x14ac:dyDescent="0.45">
      <c r="A231" s="1" t="s">
        <v>9776</v>
      </c>
      <c r="B231" s="1" t="s">
        <v>9777</v>
      </c>
      <c r="C231" s="1" t="s">
        <v>1018</v>
      </c>
      <c r="D231" s="1" t="s">
        <v>52</v>
      </c>
      <c r="E231" s="1" t="s">
        <v>53</v>
      </c>
      <c r="F231" s="1" t="s">
        <v>9778</v>
      </c>
      <c r="G231" s="1" t="s">
        <v>9779</v>
      </c>
      <c r="H231" s="1" t="s">
        <v>9780</v>
      </c>
      <c r="I231" s="1">
        <v>54</v>
      </c>
      <c r="J231" s="1">
        <v>6</v>
      </c>
      <c r="K231" s="1">
        <v>0</v>
      </c>
      <c r="L231" s="1">
        <v>5</v>
      </c>
      <c r="M231" s="1" t="s">
        <v>252</v>
      </c>
      <c r="N231" s="1" t="s">
        <v>253</v>
      </c>
      <c r="O231" s="1" t="s">
        <v>254</v>
      </c>
      <c r="P231" s="1" t="s">
        <v>1024</v>
      </c>
      <c r="Q231" s="1" t="s">
        <v>1025</v>
      </c>
      <c r="R231" s="1" t="s">
        <v>48</v>
      </c>
      <c r="S231" s="1" t="s">
        <v>1026</v>
      </c>
      <c r="T231" s="1" t="s">
        <v>1027</v>
      </c>
      <c r="U231" s="1" t="s">
        <v>598</v>
      </c>
      <c r="V231" s="1">
        <v>2021</v>
      </c>
      <c r="W231" s="1">
        <v>28</v>
      </c>
      <c r="X231" s="1">
        <v>30</v>
      </c>
      <c r="Y231" s="1" t="s">
        <v>48</v>
      </c>
      <c r="Z231" s="1" t="s">
        <v>48</v>
      </c>
      <c r="AA231" s="1" t="s">
        <v>1260</v>
      </c>
      <c r="AB231" s="1" t="s">
        <v>48</v>
      </c>
      <c r="AC231" s="1">
        <v>41095</v>
      </c>
      <c r="AD231" s="1">
        <v>41108</v>
      </c>
      <c r="AE231" s="1" t="s">
        <v>48</v>
      </c>
      <c r="AF231" s="1" t="s">
        <v>9781</v>
      </c>
      <c r="AG231" s="1" t="str">
        <f>HYPERLINK("http://dx.doi.org/10.1007/s11356-021-13457-w","http://dx.doi.org/10.1007/s11356-021-13457-w")</f>
        <v>http://dx.doi.org/10.1007/s11356-021-13457-w</v>
      </c>
      <c r="AH231" s="1" t="s">
        <v>48</v>
      </c>
      <c r="AI231" s="1" t="s">
        <v>10618</v>
      </c>
      <c r="AJ231" s="1">
        <v>14</v>
      </c>
      <c r="AK231" s="1" t="s">
        <v>438</v>
      </c>
      <c r="AL231" s="1" t="s">
        <v>67</v>
      </c>
      <c r="AM231" s="1" t="s">
        <v>439</v>
      </c>
      <c r="AN231" s="1">
        <v>33774797</v>
      </c>
      <c r="AO231" s="1" t="s">
        <v>48</v>
      </c>
      <c r="AP231" s="1" t="s">
        <v>48</v>
      </c>
      <c r="AQ231" s="1" t="s">
        <v>48</v>
      </c>
      <c r="AR231" s="1" t="s">
        <v>10610</v>
      </c>
    </row>
    <row r="232" spans="1:44" x14ac:dyDescent="0.45">
      <c r="A232" s="1" t="s">
        <v>9786</v>
      </c>
      <c r="B232" s="1" t="s">
        <v>9787</v>
      </c>
      <c r="C232" s="1" t="s">
        <v>9788</v>
      </c>
      <c r="D232" s="1" t="s">
        <v>52</v>
      </c>
      <c r="E232" s="1" t="s">
        <v>53</v>
      </c>
      <c r="F232" s="1" t="s">
        <v>9789</v>
      </c>
      <c r="G232" s="1" t="s">
        <v>9790</v>
      </c>
      <c r="H232" s="1" t="s">
        <v>9791</v>
      </c>
      <c r="I232" s="1">
        <v>45</v>
      </c>
      <c r="J232" s="1">
        <v>44</v>
      </c>
      <c r="K232" s="1">
        <v>2</v>
      </c>
      <c r="L232" s="1">
        <v>19</v>
      </c>
      <c r="M232" s="1" t="s">
        <v>1407</v>
      </c>
      <c r="N232" s="1" t="s">
        <v>632</v>
      </c>
      <c r="O232" s="1" t="s">
        <v>1408</v>
      </c>
      <c r="P232" s="1" t="s">
        <v>9792</v>
      </c>
      <c r="Q232" s="1" t="s">
        <v>48</v>
      </c>
      <c r="R232" s="1" t="s">
        <v>48</v>
      </c>
      <c r="S232" s="1" t="s">
        <v>9793</v>
      </c>
      <c r="T232" s="1" t="s">
        <v>9794</v>
      </c>
      <c r="U232" s="1" t="s">
        <v>386</v>
      </c>
      <c r="V232" s="1">
        <v>2022</v>
      </c>
      <c r="W232" s="1">
        <v>117</v>
      </c>
      <c r="X232" s="1" t="s">
        <v>48</v>
      </c>
      <c r="Y232" s="1" t="s">
        <v>48</v>
      </c>
      <c r="Z232" s="1" t="s">
        <v>48</v>
      </c>
      <c r="AA232" s="1" t="s">
        <v>48</v>
      </c>
      <c r="AB232" s="1" t="s">
        <v>48</v>
      </c>
      <c r="AC232" s="1" t="s">
        <v>48</v>
      </c>
      <c r="AD232" s="1" t="s">
        <v>48</v>
      </c>
      <c r="AE232" s="1">
        <v>101781</v>
      </c>
      <c r="AF232" s="1" t="s">
        <v>9795</v>
      </c>
      <c r="AG232" s="1" t="str">
        <f>HYPERLINK("http://dx.doi.org/10.1016/j.pmpp.2021.101781","http://dx.doi.org/10.1016/j.pmpp.2021.101781")</f>
        <v>http://dx.doi.org/10.1016/j.pmpp.2021.101781</v>
      </c>
      <c r="AH232" s="1" t="s">
        <v>48</v>
      </c>
      <c r="AI232" s="1" t="s">
        <v>10614</v>
      </c>
      <c r="AJ232" s="1">
        <v>10</v>
      </c>
      <c r="AK232" s="1" t="s">
        <v>426</v>
      </c>
      <c r="AL232" s="1" t="s">
        <v>67</v>
      </c>
      <c r="AM232" s="1" t="s">
        <v>426</v>
      </c>
      <c r="AN232" s="1" t="s">
        <v>48</v>
      </c>
      <c r="AO232" s="1" t="s">
        <v>48</v>
      </c>
      <c r="AP232" s="1" t="s">
        <v>48</v>
      </c>
      <c r="AQ232" s="1" t="s">
        <v>48</v>
      </c>
      <c r="AR232" s="1" t="s">
        <v>10610</v>
      </c>
    </row>
    <row r="233" spans="1:44" x14ac:dyDescent="0.45">
      <c r="A233" s="1" t="s">
        <v>9807</v>
      </c>
      <c r="B233" s="1" t="s">
        <v>9808</v>
      </c>
      <c r="C233" s="1" t="s">
        <v>3422</v>
      </c>
      <c r="D233" s="1" t="s">
        <v>52</v>
      </c>
      <c r="E233" s="1" t="s">
        <v>53</v>
      </c>
      <c r="F233" s="1" t="s">
        <v>9809</v>
      </c>
      <c r="G233" s="1" t="s">
        <v>3752</v>
      </c>
      <c r="H233" s="1" t="s">
        <v>2468</v>
      </c>
      <c r="I233" s="1">
        <v>37</v>
      </c>
      <c r="J233" s="1">
        <v>13</v>
      </c>
      <c r="K233" s="1">
        <v>1</v>
      </c>
      <c r="L233" s="1">
        <v>5</v>
      </c>
      <c r="M233" s="1" t="s">
        <v>503</v>
      </c>
      <c r="N233" s="1" t="s">
        <v>542</v>
      </c>
      <c r="O233" s="1" t="s">
        <v>543</v>
      </c>
      <c r="P233" s="1" t="s">
        <v>3424</v>
      </c>
      <c r="Q233" s="1" t="s">
        <v>3425</v>
      </c>
      <c r="R233" s="1" t="s">
        <v>48</v>
      </c>
      <c r="S233" s="1" t="s">
        <v>3426</v>
      </c>
      <c r="T233" s="1" t="s">
        <v>3427</v>
      </c>
      <c r="U233" s="1" t="s">
        <v>320</v>
      </c>
      <c r="V233" s="1">
        <v>2022</v>
      </c>
      <c r="W233" s="1">
        <v>147</v>
      </c>
      <c r="X233" s="1">
        <v>6</v>
      </c>
      <c r="Y233" s="1" t="s">
        <v>48</v>
      </c>
      <c r="Z233" s="1" t="s">
        <v>48</v>
      </c>
      <c r="AA233" s="1" t="s">
        <v>48</v>
      </c>
      <c r="AB233" s="1" t="s">
        <v>48</v>
      </c>
      <c r="AC233" s="1">
        <v>4253</v>
      </c>
      <c r="AD233" s="1">
        <v>4273</v>
      </c>
      <c r="AE233" s="1" t="s">
        <v>48</v>
      </c>
      <c r="AF233" s="1" t="s">
        <v>9810</v>
      </c>
      <c r="AG233" s="1" t="str">
        <f>HYPERLINK("http://dx.doi.org/10.1007/s10973-021-10731-4","http://dx.doi.org/10.1007/s10973-021-10731-4")</f>
        <v>http://dx.doi.org/10.1007/s10973-021-10731-4</v>
      </c>
      <c r="AH233" s="1" t="s">
        <v>48</v>
      </c>
      <c r="AI233" s="1" t="s">
        <v>10613</v>
      </c>
      <c r="AJ233" s="1">
        <v>21</v>
      </c>
      <c r="AK233" s="1" t="s">
        <v>3429</v>
      </c>
      <c r="AL233" s="1" t="s">
        <v>67</v>
      </c>
      <c r="AM233" s="1" t="s">
        <v>3430</v>
      </c>
      <c r="AN233" s="1" t="s">
        <v>48</v>
      </c>
      <c r="AO233" s="1" t="s">
        <v>48</v>
      </c>
      <c r="AP233" s="1" t="s">
        <v>48</v>
      </c>
      <c r="AQ233" s="1" t="s">
        <v>48</v>
      </c>
      <c r="AR233" s="1" t="s">
        <v>10610</v>
      </c>
    </row>
    <row r="234" spans="1:44" x14ac:dyDescent="0.45">
      <c r="A234" s="1" t="s">
        <v>9689</v>
      </c>
      <c r="B234" s="1" t="s">
        <v>9782</v>
      </c>
      <c r="C234" s="1" t="s">
        <v>2737</v>
      </c>
      <c r="D234" s="1" t="s">
        <v>52</v>
      </c>
      <c r="E234" s="1" t="s">
        <v>53</v>
      </c>
      <c r="F234" s="1" t="s">
        <v>9783</v>
      </c>
      <c r="G234" s="1" t="s">
        <v>9693</v>
      </c>
      <c r="H234" s="1" t="s">
        <v>9784</v>
      </c>
      <c r="I234" s="1">
        <v>33</v>
      </c>
      <c r="J234" s="1">
        <v>3</v>
      </c>
      <c r="K234" s="1">
        <v>0</v>
      </c>
      <c r="L234" s="1">
        <v>0</v>
      </c>
      <c r="M234" s="1" t="s">
        <v>2741</v>
      </c>
      <c r="N234" s="1" t="s">
        <v>80</v>
      </c>
      <c r="O234" s="1" t="s">
        <v>2742</v>
      </c>
      <c r="P234" s="1" t="s">
        <v>2743</v>
      </c>
      <c r="Q234" s="1" t="s">
        <v>2744</v>
      </c>
      <c r="R234" s="1" t="s">
        <v>48</v>
      </c>
      <c r="S234" s="1" t="s">
        <v>2745</v>
      </c>
      <c r="T234" s="1" t="s">
        <v>2746</v>
      </c>
      <c r="U234" s="1" t="s">
        <v>48</v>
      </c>
      <c r="V234" s="1">
        <v>2021</v>
      </c>
      <c r="W234" s="1">
        <v>41</v>
      </c>
      <c r="X234" s="1">
        <v>6</v>
      </c>
      <c r="Y234" s="1" t="s">
        <v>48</v>
      </c>
      <c r="Z234" s="1" t="s">
        <v>48</v>
      </c>
      <c r="AA234" s="1" t="s">
        <v>48</v>
      </c>
      <c r="AB234" s="1" t="s">
        <v>48</v>
      </c>
      <c r="AC234" s="1">
        <v>6923</v>
      </c>
      <c r="AD234" s="1">
        <v>6934</v>
      </c>
      <c r="AE234" s="1" t="s">
        <v>48</v>
      </c>
      <c r="AF234" s="1" t="s">
        <v>9785</v>
      </c>
      <c r="AG234" s="1" t="str">
        <f>HYPERLINK("http://dx.doi.org/10.3233/JIFS-210856","http://dx.doi.org/10.3233/JIFS-210856")</f>
        <v>http://dx.doi.org/10.3233/JIFS-210856</v>
      </c>
      <c r="AH234" s="1" t="s">
        <v>48</v>
      </c>
      <c r="AI234" s="1" t="s">
        <v>48</v>
      </c>
      <c r="AJ234" s="1">
        <v>12</v>
      </c>
      <c r="AK234" s="1" t="s">
        <v>549</v>
      </c>
      <c r="AL234" s="1" t="s">
        <v>67</v>
      </c>
      <c r="AM234" s="1" t="s">
        <v>292</v>
      </c>
      <c r="AN234" s="1" t="s">
        <v>48</v>
      </c>
      <c r="AO234" s="1" t="s">
        <v>48</v>
      </c>
      <c r="AP234" s="1" t="s">
        <v>48</v>
      </c>
      <c r="AQ234" s="1" t="s">
        <v>48</v>
      </c>
      <c r="AR234" s="1" t="s">
        <v>10610</v>
      </c>
    </row>
    <row r="235" spans="1:44" x14ac:dyDescent="0.45">
      <c r="A235" s="1" t="s">
        <v>9811</v>
      </c>
      <c r="B235" s="1" t="s">
        <v>9812</v>
      </c>
      <c r="C235" s="1" t="s">
        <v>72</v>
      </c>
      <c r="D235" s="1" t="s">
        <v>52</v>
      </c>
      <c r="E235" s="1" t="s">
        <v>53</v>
      </c>
      <c r="F235" s="1" t="s">
        <v>9813</v>
      </c>
      <c r="G235" s="1" t="s">
        <v>9814</v>
      </c>
      <c r="H235" s="1" t="s">
        <v>9815</v>
      </c>
      <c r="I235" s="1">
        <v>82</v>
      </c>
      <c r="J235" s="1">
        <v>24</v>
      </c>
      <c r="K235" s="1">
        <v>5</v>
      </c>
      <c r="L235" s="1">
        <v>95</v>
      </c>
      <c r="M235" s="1" t="s">
        <v>79</v>
      </c>
      <c r="N235" s="1" t="s">
        <v>80</v>
      </c>
      <c r="O235" s="1" t="s">
        <v>81</v>
      </c>
      <c r="P235" s="1" t="s">
        <v>82</v>
      </c>
      <c r="Q235" s="1" t="s">
        <v>83</v>
      </c>
      <c r="R235" s="1" t="s">
        <v>48</v>
      </c>
      <c r="S235" s="1" t="s">
        <v>84</v>
      </c>
      <c r="T235" s="1" t="s">
        <v>85</v>
      </c>
      <c r="U235" s="1" t="s">
        <v>10642</v>
      </c>
      <c r="V235" s="1">
        <v>2021</v>
      </c>
      <c r="W235" s="1">
        <v>168</v>
      </c>
      <c r="X235" s="1" t="s">
        <v>48</v>
      </c>
      <c r="Y235" s="1" t="s">
        <v>48</v>
      </c>
      <c r="Z235" s="1" t="s">
        <v>48</v>
      </c>
      <c r="AA235" s="1" t="s">
        <v>48</v>
      </c>
      <c r="AB235" s="1" t="s">
        <v>48</v>
      </c>
      <c r="AC235" s="1">
        <v>537</v>
      </c>
      <c r="AD235" s="1">
        <v>549</v>
      </c>
      <c r="AE235" s="1" t="s">
        <v>48</v>
      </c>
      <c r="AF235" s="1" t="s">
        <v>9816</v>
      </c>
      <c r="AG235" s="1" t="str">
        <f>HYPERLINK("http://dx.doi.org/10.1016/j.ijbiomac.2020.12.063","http://dx.doi.org/10.1016/j.ijbiomac.2020.12.063")</f>
        <v>http://dx.doi.org/10.1016/j.ijbiomac.2020.12.063</v>
      </c>
      <c r="AH235" s="1" t="s">
        <v>48</v>
      </c>
      <c r="AI235" s="1" t="s">
        <v>48</v>
      </c>
      <c r="AJ235" s="1">
        <v>13</v>
      </c>
      <c r="AK235" s="1" t="s">
        <v>88</v>
      </c>
      <c r="AL235" s="1" t="s">
        <v>67</v>
      </c>
      <c r="AM235" s="1" t="s">
        <v>89</v>
      </c>
      <c r="AN235" s="1">
        <v>33316341</v>
      </c>
      <c r="AO235" s="1" t="s">
        <v>48</v>
      </c>
      <c r="AP235" s="1" t="s">
        <v>48</v>
      </c>
      <c r="AQ235" s="1" t="s">
        <v>48</v>
      </c>
      <c r="AR235" s="1" t="s">
        <v>10610</v>
      </c>
    </row>
    <row r="236" spans="1:44" x14ac:dyDescent="0.45">
      <c r="A236" s="1" t="s">
        <v>9732</v>
      </c>
      <c r="B236" s="1" t="s">
        <v>9817</v>
      </c>
      <c r="C236" s="1" t="s">
        <v>9818</v>
      </c>
      <c r="D236" s="1" t="s">
        <v>52</v>
      </c>
      <c r="E236" s="1" t="s">
        <v>53</v>
      </c>
      <c r="F236" s="1" t="s">
        <v>9819</v>
      </c>
      <c r="G236" s="1" t="s">
        <v>9820</v>
      </c>
      <c r="H236" s="1" t="s">
        <v>431</v>
      </c>
      <c r="I236" s="1">
        <v>49</v>
      </c>
      <c r="J236" s="1">
        <v>45</v>
      </c>
      <c r="K236" s="1">
        <v>1</v>
      </c>
      <c r="L236" s="1">
        <v>28</v>
      </c>
      <c r="M236" s="1" t="s">
        <v>3812</v>
      </c>
      <c r="N236" s="1" t="s">
        <v>2271</v>
      </c>
      <c r="O236" s="1" t="s">
        <v>2272</v>
      </c>
      <c r="P236" s="1" t="s">
        <v>9821</v>
      </c>
      <c r="Q236" s="1" t="s">
        <v>9822</v>
      </c>
      <c r="R236" s="1" t="s">
        <v>48</v>
      </c>
      <c r="S236" s="1" t="s">
        <v>9823</v>
      </c>
      <c r="T236" s="1" t="s">
        <v>9824</v>
      </c>
      <c r="U236" s="1" t="s">
        <v>458</v>
      </c>
      <c r="V236" s="1">
        <v>2021</v>
      </c>
      <c r="W236" s="1">
        <v>15</v>
      </c>
      <c r="X236" s="1">
        <v>5</v>
      </c>
      <c r="Y236" s="1" t="s">
        <v>48</v>
      </c>
      <c r="Z236" s="1" t="s">
        <v>48</v>
      </c>
      <c r="AA236" s="1" t="s">
        <v>48</v>
      </c>
      <c r="AB236" s="1" t="s">
        <v>48</v>
      </c>
      <c r="AC236" s="1">
        <v>819</v>
      </c>
      <c r="AD236" s="1">
        <v>835</v>
      </c>
      <c r="AE236" s="1" t="s">
        <v>48</v>
      </c>
      <c r="AF236" s="1" t="s">
        <v>9825</v>
      </c>
      <c r="AG236" s="1" t="str">
        <f>HYPERLINK("http://dx.doi.org/10.1007/s41742-021-00356-8","http://dx.doi.org/10.1007/s41742-021-00356-8")</f>
        <v>http://dx.doi.org/10.1007/s41742-021-00356-8</v>
      </c>
      <c r="AH236" s="1" t="s">
        <v>48</v>
      </c>
      <c r="AI236" s="1" t="s">
        <v>10623</v>
      </c>
      <c r="AJ236" s="1">
        <v>17</v>
      </c>
      <c r="AK236" s="1" t="s">
        <v>438</v>
      </c>
      <c r="AL236" s="1" t="s">
        <v>67</v>
      </c>
      <c r="AM236" s="1" t="s">
        <v>439</v>
      </c>
      <c r="AN236" s="1" t="s">
        <v>48</v>
      </c>
      <c r="AO236" s="1" t="s">
        <v>48</v>
      </c>
      <c r="AP236" s="1" t="s">
        <v>48</v>
      </c>
      <c r="AQ236" s="1" t="s">
        <v>48</v>
      </c>
      <c r="AR236" s="1" t="s">
        <v>10610</v>
      </c>
    </row>
    <row r="237" spans="1:44" x14ac:dyDescent="0.45">
      <c r="A237" s="1" t="s">
        <v>9836</v>
      </c>
      <c r="B237" s="1" t="s">
        <v>9837</v>
      </c>
      <c r="C237" s="1" t="s">
        <v>2194</v>
      </c>
      <c r="D237" s="1" t="s">
        <v>52</v>
      </c>
      <c r="E237" s="1" t="s">
        <v>53</v>
      </c>
      <c r="F237" s="1" t="s">
        <v>9838</v>
      </c>
      <c r="G237" s="1" t="s">
        <v>9839</v>
      </c>
      <c r="H237" s="1" t="s">
        <v>9840</v>
      </c>
      <c r="I237" s="1">
        <v>32</v>
      </c>
      <c r="J237" s="1">
        <v>3</v>
      </c>
      <c r="K237" s="1">
        <v>2</v>
      </c>
      <c r="L237" s="1">
        <v>10</v>
      </c>
      <c r="M237" s="1" t="s">
        <v>503</v>
      </c>
      <c r="N237" s="1" t="s">
        <v>542</v>
      </c>
      <c r="O237" s="1" t="s">
        <v>543</v>
      </c>
      <c r="P237" s="1" t="s">
        <v>2195</v>
      </c>
      <c r="Q237" s="1" t="s">
        <v>2196</v>
      </c>
      <c r="R237" s="1" t="s">
        <v>48</v>
      </c>
      <c r="S237" s="1" t="s">
        <v>2194</v>
      </c>
      <c r="T237" s="1" t="s">
        <v>2197</v>
      </c>
      <c r="U237" s="1" t="s">
        <v>458</v>
      </c>
      <c r="V237" s="1">
        <v>2022</v>
      </c>
      <c r="W237" s="1">
        <v>87</v>
      </c>
      <c r="X237" s="1" t="s">
        <v>9841</v>
      </c>
      <c r="Y237" s="1" t="s">
        <v>48</v>
      </c>
      <c r="Z237" s="1">
        <v>4</v>
      </c>
      <c r="AA237" s="1" t="s">
        <v>1260</v>
      </c>
      <c r="AB237" s="1" t="s">
        <v>48</v>
      </c>
      <c r="AC237" s="1">
        <v>739</v>
      </c>
      <c r="AD237" s="1">
        <v>763</v>
      </c>
      <c r="AE237" s="1" t="s">
        <v>48</v>
      </c>
      <c r="AF237" s="1" t="s">
        <v>9842</v>
      </c>
      <c r="AG237" s="1" t="str">
        <f>HYPERLINK("http://dx.doi.org/10.1007/s10708-021-10531-1","http://dx.doi.org/10.1007/s10708-021-10531-1")</f>
        <v>http://dx.doi.org/10.1007/s10708-021-10531-1</v>
      </c>
      <c r="AH237" s="1" t="s">
        <v>48</v>
      </c>
      <c r="AI237" s="1" t="s">
        <v>10615</v>
      </c>
      <c r="AJ237" s="1">
        <v>25</v>
      </c>
      <c r="AK237" s="1" t="s">
        <v>493</v>
      </c>
      <c r="AL237" s="1" t="s">
        <v>124</v>
      </c>
      <c r="AM237" s="1" t="s">
        <v>493</v>
      </c>
      <c r="AN237" s="1" t="s">
        <v>48</v>
      </c>
      <c r="AO237" s="1" t="s">
        <v>48</v>
      </c>
      <c r="AP237" s="1" t="s">
        <v>48</v>
      </c>
      <c r="AQ237" s="1" t="s">
        <v>48</v>
      </c>
      <c r="AR237" s="1" t="s">
        <v>10610</v>
      </c>
    </row>
    <row r="238" spans="1:44" x14ac:dyDescent="0.45">
      <c r="A238" s="1" t="s">
        <v>9843</v>
      </c>
      <c r="B238" s="1" t="s">
        <v>9844</v>
      </c>
      <c r="C238" s="1" t="s">
        <v>9845</v>
      </c>
      <c r="D238" s="1" t="s">
        <v>52</v>
      </c>
      <c r="E238" s="1" t="s">
        <v>53</v>
      </c>
      <c r="F238" s="1" t="s">
        <v>9846</v>
      </c>
      <c r="G238" s="1" t="s">
        <v>5268</v>
      </c>
      <c r="H238" s="1" t="s">
        <v>6218</v>
      </c>
      <c r="I238" s="1">
        <v>41</v>
      </c>
      <c r="J238" s="1">
        <v>35</v>
      </c>
      <c r="K238" s="1">
        <v>4</v>
      </c>
      <c r="L238" s="1">
        <v>62</v>
      </c>
      <c r="M238" s="1" t="s">
        <v>503</v>
      </c>
      <c r="N238" s="1" t="s">
        <v>504</v>
      </c>
      <c r="O238" s="1" t="s">
        <v>505</v>
      </c>
      <c r="P238" s="1" t="s">
        <v>9847</v>
      </c>
      <c r="Q238" s="1" t="s">
        <v>9848</v>
      </c>
      <c r="R238" s="1" t="s">
        <v>48</v>
      </c>
      <c r="S238" s="1" t="s">
        <v>9849</v>
      </c>
      <c r="T238" s="1" t="s">
        <v>9850</v>
      </c>
      <c r="U238" s="1" t="s">
        <v>436</v>
      </c>
      <c r="V238" s="1">
        <v>2021</v>
      </c>
      <c r="W238" s="1">
        <v>44</v>
      </c>
      <c r="X238" s="1">
        <v>9</v>
      </c>
      <c r="Y238" s="1" t="s">
        <v>48</v>
      </c>
      <c r="Z238" s="1" t="s">
        <v>48</v>
      </c>
      <c r="AA238" s="1" t="s">
        <v>48</v>
      </c>
      <c r="AB238" s="1" t="s">
        <v>48</v>
      </c>
      <c r="AC238" s="1">
        <v>1943</v>
      </c>
      <c r="AD238" s="1">
        <v>1956</v>
      </c>
      <c r="AE238" s="1" t="s">
        <v>48</v>
      </c>
      <c r="AF238" s="1" t="s">
        <v>9851</v>
      </c>
      <c r="AG238" s="1" t="str">
        <f>HYPERLINK("http://dx.doi.org/10.1007/s00449-021-02574-y","http://dx.doi.org/10.1007/s00449-021-02574-y")</f>
        <v>http://dx.doi.org/10.1007/s00449-021-02574-y</v>
      </c>
      <c r="AH238" s="1" t="s">
        <v>48</v>
      </c>
      <c r="AI238" s="1" t="s">
        <v>10613</v>
      </c>
      <c r="AJ238" s="1">
        <v>14</v>
      </c>
      <c r="AK238" s="1" t="s">
        <v>9852</v>
      </c>
      <c r="AL238" s="1" t="s">
        <v>67</v>
      </c>
      <c r="AM238" s="1" t="s">
        <v>9853</v>
      </c>
      <c r="AN238" s="1">
        <v>33956220</v>
      </c>
      <c r="AO238" s="1" t="s">
        <v>48</v>
      </c>
      <c r="AP238" s="1" t="s">
        <v>48</v>
      </c>
      <c r="AQ238" s="1" t="s">
        <v>48</v>
      </c>
      <c r="AR238" s="1" t="s">
        <v>10610</v>
      </c>
    </row>
    <row r="239" spans="1:44" x14ac:dyDescent="0.45">
      <c r="A239" s="1" t="s">
        <v>9854</v>
      </c>
      <c r="B239" s="1" t="s">
        <v>9855</v>
      </c>
      <c r="C239" s="1" t="s">
        <v>4719</v>
      </c>
      <c r="D239" s="1" t="s">
        <v>52</v>
      </c>
      <c r="E239" s="1" t="s">
        <v>53</v>
      </c>
      <c r="F239" s="1" t="s">
        <v>9856</v>
      </c>
      <c r="G239" s="1" t="s">
        <v>9857</v>
      </c>
      <c r="H239" s="1" t="s">
        <v>9858</v>
      </c>
      <c r="I239" s="1">
        <v>71</v>
      </c>
      <c r="J239" s="1">
        <v>23</v>
      </c>
      <c r="K239" s="1">
        <v>0</v>
      </c>
      <c r="L239" s="1">
        <v>33</v>
      </c>
      <c r="M239" s="1" t="s">
        <v>79</v>
      </c>
      <c r="N239" s="1" t="s">
        <v>80</v>
      </c>
      <c r="O239" s="1" t="s">
        <v>81</v>
      </c>
      <c r="P239" s="1" t="s">
        <v>4723</v>
      </c>
      <c r="Q239" s="1" t="s">
        <v>4724</v>
      </c>
      <c r="R239" s="1" t="s">
        <v>48</v>
      </c>
      <c r="S239" s="1" t="s">
        <v>4725</v>
      </c>
      <c r="T239" s="1" t="s">
        <v>4726</v>
      </c>
      <c r="U239" s="1" t="s">
        <v>1380</v>
      </c>
      <c r="V239" s="1">
        <v>2021</v>
      </c>
      <c r="W239" s="1">
        <v>765</v>
      </c>
      <c r="X239" s="1" t="s">
        <v>48</v>
      </c>
      <c r="Y239" s="1" t="s">
        <v>48</v>
      </c>
      <c r="Z239" s="1" t="s">
        <v>48</v>
      </c>
      <c r="AA239" s="1" t="s">
        <v>48</v>
      </c>
      <c r="AB239" s="1" t="s">
        <v>48</v>
      </c>
      <c r="AC239" s="1" t="s">
        <v>48</v>
      </c>
      <c r="AD239" s="1" t="s">
        <v>48</v>
      </c>
      <c r="AE239" s="1">
        <v>142723</v>
      </c>
      <c r="AF239" s="1" t="s">
        <v>9859</v>
      </c>
      <c r="AG239" s="1" t="str">
        <f>HYPERLINK("http://dx.doi.org/10.1016/j.scitotenv.2020.142723","http://dx.doi.org/10.1016/j.scitotenv.2020.142723")</f>
        <v>http://dx.doi.org/10.1016/j.scitotenv.2020.142723</v>
      </c>
      <c r="AH239" s="1" t="s">
        <v>48</v>
      </c>
      <c r="AI239" s="1" t="s">
        <v>10617</v>
      </c>
      <c r="AJ239" s="1">
        <v>15</v>
      </c>
      <c r="AK239" s="1" t="s">
        <v>438</v>
      </c>
      <c r="AL239" s="1" t="s">
        <v>67</v>
      </c>
      <c r="AM239" s="1" t="s">
        <v>439</v>
      </c>
      <c r="AN239" s="1">
        <v>33077215</v>
      </c>
      <c r="AO239" s="1" t="s">
        <v>1325</v>
      </c>
      <c r="AP239" s="1" t="s">
        <v>48</v>
      </c>
      <c r="AQ239" s="1" t="s">
        <v>48</v>
      </c>
      <c r="AR239" s="1" t="s">
        <v>10610</v>
      </c>
    </row>
    <row r="240" spans="1:44" x14ac:dyDescent="0.45">
      <c r="A240" s="1" t="s">
        <v>9896</v>
      </c>
      <c r="B240" s="1" t="s">
        <v>9897</v>
      </c>
      <c r="C240" s="1" t="s">
        <v>3242</v>
      </c>
      <c r="D240" s="1" t="s">
        <v>52</v>
      </c>
      <c r="E240" s="1" t="s">
        <v>53</v>
      </c>
      <c r="F240" s="1" t="s">
        <v>9898</v>
      </c>
      <c r="G240" s="1" t="s">
        <v>9899</v>
      </c>
      <c r="H240" s="1" t="s">
        <v>9900</v>
      </c>
      <c r="I240" s="1">
        <v>43</v>
      </c>
      <c r="J240" s="1">
        <v>11</v>
      </c>
      <c r="K240" s="1">
        <v>0</v>
      </c>
      <c r="L240" s="1">
        <v>22</v>
      </c>
      <c r="M240" s="1" t="s">
        <v>421</v>
      </c>
      <c r="N240" s="1" t="s">
        <v>422</v>
      </c>
      <c r="O240" s="1" t="s">
        <v>423</v>
      </c>
      <c r="P240" s="1" t="s">
        <v>48</v>
      </c>
      <c r="Q240" s="1" t="s">
        <v>3244</v>
      </c>
      <c r="R240" s="1" t="s">
        <v>48</v>
      </c>
      <c r="S240" s="1" t="s">
        <v>3245</v>
      </c>
      <c r="T240" s="1" t="s">
        <v>3246</v>
      </c>
      <c r="U240" s="1" t="s">
        <v>10643</v>
      </c>
      <c r="V240" s="1">
        <v>2021</v>
      </c>
      <c r="W240" s="1">
        <v>5</v>
      </c>
      <c r="X240" s="1" t="s">
        <v>48</v>
      </c>
      <c r="Y240" s="1" t="s">
        <v>48</v>
      </c>
      <c r="Z240" s="1" t="s">
        <v>48</v>
      </c>
      <c r="AA240" s="1" t="s">
        <v>48</v>
      </c>
      <c r="AB240" s="1" t="s">
        <v>48</v>
      </c>
      <c r="AC240" s="1" t="s">
        <v>48</v>
      </c>
      <c r="AD240" s="1" t="s">
        <v>48</v>
      </c>
      <c r="AE240" s="1">
        <v>680738</v>
      </c>
      <c r="AF240" s="1" t="s">
        <v>9901</v>
      </c>
      <c r="AG240" s="1" t="str">
        <f>HYPERLINK("http://dx.doi.org/10.3389/fsufs.2021.680738","http://dx.doi.org/10.3389/fsufs.2021.680738")</f>
        <v>http://dx.doi.org/10.3389/fsufs.2021.680738</v>
      </c>
      <c r="AH240" s="1" t="s">
        <v>48</v>
      </c>
      <c r="AI240" s="1" t="s">
        <v>48</v>
      </c>
      <c r="AJ240" s="1">
        <v>10</v>
      </c>
      <c r="AK240" s="1" t="s">
        <v>2971</v>
      </c>
      <c r="AL240" s="1" t="s">
        <v>67</v>
      </c>
      <c r="AM240" s="1" t="s">
        <v>2971</v>
      </c>
      <c r="AN240" s="1" t="s">
        <v>48</v>
      </c>
      <c r="AO240" s="1" t="s">
        <v>125</v>
      </c>
      <c r="AP240" s="1" t="s">
        <v>48</v>
      </c>
      <c r="AQ240" s="1" t="s">
        <v>48</v>
      </c>
      <c r="AR240" s="1" t="s">
        <v>10610</v>
      </c>
    </row>
    <row r="241" spans="1:44" x14ac:dyDescent="0.45">
      <c r="A241" s="1" t="s">
        <v>9902</v>
      </c>
      <c r="B241" s="1" t="s">
        <v>9903</v>
      </c>
      <c r="C241" s="1" t="s">
        <v>9904</v>
      </c>
      <c r="D241" s="1" t="s">
        <v>52</v>
      </c>
      <c r="E241" s="1" t="s">
        <v>53</v>
      </c>
      <c r="F241" s="1" t="s">
        <v>9905</v>
      </c>
      <c r="G241" s="1" t="s">
        <v>4998</v>
      </c>
      <c r="H241" s="1" t="s">
        <v>9906</v>
      </c>
      <c r="I241" s="1">
        <v>37</v>
      </c>
      <c r="J241" s="1">
        <v>5</v>
      </c>
      <c r="K241" s="1">
        <v>1</v>
      </c>
      <c r="L241" s="1">
        <v>12</v>
      </c>
      <c r="M241" s="1" t="s">
        <v>132</v>
      </c>
      <c r="N241" s="1" t="s">
        <v>133</v>
      </c>
      <c r="O241" s="1" t="s">
        <v>134</v>
      </c>
      <c r="P241" s="1" t="s">
        <v>48</v>
      </c>
      <c r="Q241" s="1" t="s">
        <v>9907</v>
      </c>
      <c r="R241" s="1" t="s">
        <v>48</v>
      </c>
      <c r="S241" s="1" t="s">
        <v>9908</v>
      </c>
      <c r="T241" s="1" t="s">
        <v>9909</v>
      </c>
      <c r="U241" s="1" t="s">
        <v>243</v>
      </c>
      <c r="V241" s="1">
        <v>2021</v>
      </c>
      <c r="W241" s="1">
        <v>18</v>
      </c>
      <c r="X241" s="1">
        <v>12</v>
      </c>
      <c r="Y241" s="1" t="s">
        <v>48</v>
      </c>
      <c r="Z241" s="1" t="s">
        <v>48</v>
      </c>
      <c r="AA241" s="1" t="s">
        <v>48</v>
      </c>
      <c r="AB241" s="1" t="s">
        <v>48</v>
      </c>
      <c r="AC241" s="1" t="s">
        <v>48</v>
      </c>
      <c r="AD241" s="1" t="s">
        <v>48</v>
      </c>
      <c r="AE241" s="1">
        <v>6624</v>
      </c>
      <c r="AF241" s="1" t="s">
        <v>9910</v>
      </c>
      <c r="AG241" s="1" t="str">
        <f>HYPERLINK("http://dx.doi.org/10.3390/ijerph18126624","http://dx.doi.org/10.3390/ijerph18126624")</f>
        <v>http://dx.doi.org/10.3390/ijerph18126624</v>
      </c>
      <c r="AH241" s="1" t="s">
        <v>48</v>
      </c>
      <c r="AI241" s="1" t="s">
        <v>48</v>
      </c>
      <c r="AJ241" s="1">
        <v>17</v>
      </c>
      <c r="AK241" s="1" t="s">
        <v>6576</v>
      </c>
      <c r="AL241" s="1" t="s">
        <v>944</v>
      </c>
      <c r="AM241" s="1" t="s">
        <v>6577</v>
      </c>
      <c r="AN241" s="1">
        <v>34202972</v>
      </c>
      <c r="AO241" s="1" t="s">
        <v>337</v>
      </c>
      <c r="AP241" s="1" t="s">
        <v>48</v>
      </c>
      <c r="AQ241" s="1" t="s">
        <v>48</v>
      </c>
      <c r="AR241" s="1" t="s">
        <v>10610</v>
      </c>
    </row>
    <row r="242" spans="1:44" x14ac:dyDescent="0.45">
      <c r="A242" s="1" t="s">
        <v>9732</v>
      </c>
      <c r="B242" s="1" t="s">
        <v>9911</v>
      </c>
      <c r="C242" s="1" t="s">
        <v>429</v>
      </c>
      <c r="D242" s="1" t="s">
        <v>52</v>
      </c>
      <c r="E242" s="1" t="s">
        <v>53</v>
      </c>
      <c r="F242" s="1" t="s">
        <v>9912</v>
      </c>
      <c r="G242" s="1" t="s">
        <v>9820</v>
      </c>
      <c r="H242" s="1" t="s">
        <v>431</v>
      </c>
      <c r="I242" s="1">
        <v>13</v>
      </c>
      <c r="J242" s="1">
        <v>5</v>
      </c>
      <c r="K242" s="1">
        <v>0</v>
      </c>
      <c r="L242" s="1">
        <v>2</v>
      </c>
      <c r="M242" s="1" t="s">
        <v>252</v>
      </c>
      <c r="N242" s="1" t="s">
        <v>253</v>
      </c>
      <c r="O242" s="1" t="s">
        <v>254</v>
      </c>
      <c r="P242" s="1" t="s">
        <v>432</v>
      </c>
      <c r="Q242" s="1" t="s">
        <v>433</v>
      </c>
      <c r="R242" s="1" t="s">
        <v>48</v>
      </c>
      <c r="S242" s="1" t="s">
        <v>434</v>
      </c>
      <c r="T242" s="1" t="s">
        <v>435</v>
      </c>
      <c r="U242" s="1" t="s">
        <v>320</v>
      </c>
      <c r="V242" s="1">
        <v>2022</v>
      </c>
      <c r="W242" s="1">
        <v>8</v>
      </c>
      <c r="X242" s="1">
        <v>1</v>
      </c>
      <c r="Y242" s="1" t="s">
        <v>48</v>
      </c>
      <c r="Z242" s="1" t="s">
        <v>48</v>
      </c>
      <c r="AA242" s="1" t="s">
        <v>48</v>
      </c>
      <c r="AB242" s="1" t="s">
        <v>48</v>
      </c>
      <c r="AC242" s="1">
        <v>511</v>
      </c>
      <c r="AD242" s="1">
        <v>521</v>
      </c>
      <c r="AE242" s="1" t="s">
        <v>48</v>
      </c>
      <c r="AF242" s="1" t="s">
        <v>9913</v>
      </c>
      <c r="AG242" s="1" t="str">
        <f>HYPERLINK("http://dx.doi.org/10.1007/s40808-021-01118-3","http://dx.doi.org/10.1007/s40808-021-01118-3")</f>
        <v>http://dx.doi.org/10.1007/s40808-021-01118-3</v>
      </c>
      <c r="AH242" s="1" t="s">
        <v>48</v>
      </c>
      <c r="AI242" s="1" t="s">
        <v>10619</v>
      </c>
      <c r="AJ242" s="1">
        <v>11</v>
      </c>
      <c r="AK242" s="1" t="s">
        <v>438</v>
      </c>
      <c r="AL242" s="1" t="s">
        <v>124</v>
      </c>
      <c r="AM242" s="1" t="s">
        <v>439</v>
      </c>
      <c r="AN242" s="1">
        <v>33527084</v>
      </c>
      <c r="AO242" s="1" t="s">
        <v>581</v>
      </c>
      <c r="AP242" s="1" t="s">
        <v>48</v>
      </c>
      <c r="AQ242" s="1" t="s">
        <v>48</v>
      </c>
      <c r="AR242" s="1" t="s">
        <v>10610</v>
      </c>
    </row>
    <row r="243" spans="1:44" x14ac:dyDescent="0.45">
      <c r="A243" s="1" t="s">
        <v>9826</v>
      </c>
      <c r="B243" s="1" t="s">
        <v>9827</v>
      </c>
      <c r="C243" s="1" t="s">
        <v>979</v>
      </c>
      <c r="D243" s="1" t="s">
        <v>52</v>
      </c>
      <c r="E243" s="1" t="s">
        <v>53</v>
      </c>
      <c r="F243" s="1" t="s">
        <v>9828</v>
      </c>
      <c r="G243" s="1" t="s">
        <v>3487</v>
      </c>
      <c r="H243" s="1" t="s">
        <v>9829</v>
      </c>
      <c r="I243" s="1">
        <v>78</v>
      </c>
      <c r="J243" s="1">
        <v>10</v>
      </c>
      <c r="K243" s="1">
        <v>4</v>
      </c>
      <c r="L243" s="1">
        <v>33</v>
      </c>
      <c r="M243" s="1" t="s">
        <v>198</v>
      </c>
      <c r="N243" s="1" t="s">
        <v>146</v>
      </c>
      <c r="O243" s="1" t="s">
        <v>199</v>
      </c>
      <c r="P243" s="1" t="s">
        <v>982</v>
      </c>
      <c r="Q243" s="1" t="s">
        <v>983</v>
      </c>
      <c r="R243" s="1" t="s">
        <v>48</v>
      </c>
      <c r="S243" s="1" t="s">
        <v>984</v>
      </c>
      <c r="T243" s="1" t="s">
        <v>985</v>
      </c>
      <c r="U243" s="1" t="s">
        <v>986</v>
      </c>
      <c r="V243" s="1">
        <v>2022</v>
      </c>
      <c r="W243" s="1">
        <v>37</v>
      </c>
      <c r="X243" s="1">
        <v>25</v>
      </c>
      <c r="Y243" s="1" t="s">
        <v>48</v>
      </c>
      <c r="Z243" s="1" t="s">
        <v>48</v>
      </c>
      <c r="AA243" s="1" t="s">
        <v>48</v>
      </c>
      <c r="AB243" s="1" t="s">
        <v>48</v>
      </c>
      <c r="AC243" s="1">
        <v>9298</v>
      </c>
      <c r="AD243" s="1">
        <v>9319</v>
      </c>
      <c r="AE243" s="1" t="s">
        <v>48</v>
      </c>
      <c r="AF243" s="1" t="s">
        <v>9830</v>
      </c>
      <c r="AG243" s="1" t="str">
        <f>HYPERLINK("http://dx.doi.org/10.1080/10106049.2021.2017014","http://dx.doi.org/10.1080/10106049.2021.2017014")</f>
        <v>http://dx.doi.org/10.1080/10106049.2021.2017014</v>
      </c>
      <c r="AH243" s="1" t="s">
        <v>48</v>
      </c>
      <c r="AI243" s="1" t="s">
        <v>10614</v>
      </c>
      <c r="AJ243" s="1">
        <v>22</v>
      </c>
      <c r="AK243" s="1" t="s">
        <v>988</v>
      </c>
      <c r="AL243" s="1" t="s">
        <v>67</v>
      </c>
      <c r="AM243" s="1" t="s">
        <v>989</v>
      </c>
      <c r="AN243" s="1" t="s">
        <v>48</v>
      </c>
      <c r="AO243" s="1" t="s">
        <v>48</v>
      </c>
      <c r="AP243" s="1" t="s">
        <v>48</v>
      </c>
      <c r="AQ243" s="1" t="s">
        <v>48</v>
      </c>
      <c r="AR243" s="1" t="s">
        <v>10610</v>
      </c>
    </row>
    <row r="244" spans="1:44" x14ac:dyDescent="0.45">
      <c r="A244" s="1" t="s">
        <v>9831</v>
      </c>
      <c r="B244" s="1" t="s">
        <v>9832</v>
      </c>
      <c r="C244" s="1" t="s">
        <v>7298</v>
      </c>
      <c r="D244" s="1" t="s">
        <v>52</v>
      </c>
      <c r="E244" s="1" t="s">
        <v>53</v>
      </c>
      <c r="F244" s="1" t="s">
        <v>9833</v>
      </c>
      <c r="G244" s="1" t="s">
        <v>4639</v>
      </c>
      <c r="H244" s="1" t="s">
        <v>9834</v>
      </c>
      <c r="I244" s="1">
        <v>76</v>
      </c>
      <c r="J244" s="1">
        <v>16</v>
      </c>
      <c r="K244" s="1">
        <v>4</v>
      </c>
      <c r="L244" s="1">
        <v>24</v>
      </c>
      <c r="M244" s="1" t="s">
        <v>79</v>
      </c>
      <c r="N244" s="1" t="s">
        <v>80</v>
      </c>
      <c r="O244" s="1" t="s">
        <v>81</v>
      </c>
      <c r="P244" s="1" t="s">
        <v>7302</v>
      </c>
      <c r="Q244" s="1" t="s">
        <v>7303</v>
      </c>
      <c r="R244" s="1" t="s">
        <v>48</v>
      </c>
      <c r="S244" s="1" t="s">
        <v>7304</v>
      </c>
      <c r="T244" s="1" t="s">
        <v>7305</v>
      </c>
      <c r="U244" s="1" t="s">
        <v>352</v>
      </c>
      <c r="V244" s="1">
        <v>2021</v>
      </c>
      <c r="W244" s="1">
        <v>95</v>
      </c>
      <c r="X244" s="1" t="s">
        <v>48</v>
      </c>
      <c r="Y244" s="1" t="s">
        <v>48</v>
      </c>
      <c r="Z244" s="1" t="s">
        <v>48</v>
      </c>
      <c r="AA244" s="1" t="s">
        <v>48</v>
      </c>
      <c r="AB244" s="1" t="s">
        <v>48</v>
      </c>
      <c r="AC244" s="1" t="s">
        <v>48</v>
      </c>
      <c r="AD244" s="1" t="s">
        <v>48</v>
      </c>
      <c r="AE244" s="1">
        <v>105083</v>
      </c>
      <c r="AF244" s="1" t="s">
        <v>9835</v>
      </c>
      <c r="AG244" s="1" t="str">
        <f>HYPERLINK("http://dx.doi.org/10.1016/j.meegid.2021.105083","http://dx.doi.org/10.1016/j.meegid.2021.105083")</f>
        <v>http://dx.doi.org/10.1016/j.meegid.2021.105083</v>
      </c>
      <c r="AH244" s="1" t="s">
        <v>48</v>
      </c>
      <c r="AI244" s="1" t="s">
        <v>10620</v>
      </c>
      <c r="AJ244" s="1">
        <v>14</v>
      </c>
      <c r="AK244" s="1" t="s">
        <v>1757</v>
      </c>
      <c r="AL244" s="1" t="s">
        <v>67</v>
      </c>
      <c r="AM244" s="1" t="s">
        <v>1757</v>
      </c>
      <c r="AN244" s="1">
        <v>34536578</v>
      </c>
      <c r="AO244" s="1" t="s">
        <v>48</v>
      </c>
      <c r="AP244" s="1" t="s">
        <v>48</v>
      </c>
      <c r="AQ244" s="1" t="s">
        <v>48</v>
      </c>
      <c r="AR244" s="1" t="s">
        <v>10610</v>
      </c>
    </row>
    <row r="245" spans="1:44" x14ac:dyDescent="0.45">
      <c r="A245" s="1" t="s">
        <v>9860</v>
      </c>
      <c r="B245" s="1" t="s">
        <v>9861</v>
      </c>
      <c r="C245" s="1" t="s">
        <v>9862</v>
      </c>
      <c r="D245" s="1" t="s">
        <v>52</v>
      </c>
      <c r="E245" s="1" t="s">
        <v>53</v>
      </c>
      <c r="F245" s="1" t="s">
        <v>9863</v>
      </c>
      <c r="G245" s="1" t="s">
        <v>6267</v>
      </c>
      <c r="H245" s="1" t="s">
        <v>9864</v>
      </c>
      <c r="I245" s="1">
        <v>32</v>
      </c>
      <c r="J245" s="1">
        <v>6</v>
      </c>
      <c r="K245" s="1">
        <v>0</v>
      </c>
      <c r="L245" s="1">
        <v>0</v>
      </c>
      <c r="M245" s="1" t="s">
        <v>503</v>
      </c>
      <c r="N245" s="1" t="s">
        <v>504</v>
      </c>
      <c r="O245" s="1" t="s">
        <v>505</v>
      </c>
      <c r="P245" s="1" t="s">
        <v>9865</v>
      </c>
      <c r="Q245" s="1" t="s">
        <v>9866</v>
      </c>
      <c r="R245" s="1" t="s">
        <v>48</v>
      </c>
      <c r="S245" s="1" t="s">
        <v>9867</v>
      </c>
      <c r="T245" s="1" t="s">
        <v>9868</v>
      </c>
      <c r="U245" s="1" t="s">
        <v>10644</v>
      </c>
      <c r="V245" s="1">
        <v>2021</v>
      </c>
      <c r="W245" s="1">
        <v>69</v>
      </c>
      <c r="X245" s="1">
        <v>1</v>
      </c>
      <c r="Y245" s="1" t="s">
        <v>48</v>
      </c>
      <c r="Z245" s="1" t="s">
        <v>48</v>
      </c>
      <c r="AA245" s="1" t="s">
        <v>48</v>
      </c>
      <c r="AB245" s="1" t="s">
        <v>48</v>
      </c>
      <c r="AC245" s="1" t="s">
        <v>48</v>
      </c>
      <c r="AD245" s="1" t="s">
        <v>48</v>
      </c>
      <c r="AE245" s="1">
        <v>40</v>
      </c>
      <c r="AF245" s="1" t="s">
        <v>9869</v>
      </c>
      <c r="AG245" s="1" t="str">
        <f>HYPERLINK("http://dx.doi.org/10.1186/s43054-021-00087-7","http://dx.doi.org/10.1186/s43054-021-00087-7")</f>
        <v>http://dx.doi.org/10.1186/s43054-021-00087-7</v>
      </c>
      <c r="AH245" s="1" t="s">
        <v>48</v>
      </c>
      <c r="AI245" s="1" t="s">
        <v>48</v>
      </c>
      <c r="AJ245" s="1">
        <v>12</v>
      </c>
      <c r="AK245" s="1" t="s">
        <v>8050</v>
      </c>
      <c r="AL245" s="1" t="s">
        <v>124</v>
      </c>
      <c r="AM245" s="1" t="s">
        <v>8050</v>
      </c>
      <c r="AN245" s="1" t="s">
        <v>48</v>
      </c>
      <c r="AO245" s="1" t="s">
        <v>125</v>
      </c>
      <c r="AP245" s="1" t="s">
        <v>48</v>
      </c>
      <c r="AQ245" s="1" t="s">
        <v>48</v>
      </c>
      <c r="AR245" s="1" t="s">
        <v>10610</v>
      </c>
    </row>
    <row r="246" spans="1:44" x14ac:dyDescent="0.45">
      <c r="A246" s="1" t="s">
        <v>9870</v>
      </c>
      <c r="B246" s="1" t="s">
        <v>9871</v>
      </c>
      <c r="C246" s="1" t="s">
        <v>9872</v>
      </c>
      <c r="D246" s="1" t="s">
        <v>52</v>
      </c>
      <c r="E246" s="1" t="s">
        <v>53</v>
      </c>
      <c r="F246" s="1" t="s">
        <v>9873</v>
      </c>
      <c r="G246" s="1" t="s">
        <v>9874</v>
      </c>
      <c r="H246" s="1" t="s">
        <v>9875</v>
      </c>
      <c r="I246" s="1">
        <v>75</v>
      </c>
      <c r="J246" s="1">
        <v>9</v>
      </c>
      <c r="K246" s="1">
        <v>0</v>
      </c>
      <c r="L246" s="1">
        <v>1</v>
      </c>
      <c r="M246" s="1" t="s">
        <v>132</v>
      </c>
      <c r="N246" s="1" t="s">
        <v>133</v>
      </c>
      <c r="O246" s="1" t="s">
        <v>9876</v>
      </c>
      <c r="P246" s="1" t="s">
        <v>48</v>
      </c>
      <c r="Q246" s="1" t="s">
        <v>9877</v>
      </c>
      <c r="R246" s="1" t="s">
        <v>48</v>
      </c>
      <c r="S246" s="1" t="s">
        <v>9878</v>
      </c>
      <c r="T246" s="1" t="s">
        <v>9879</v>
      </c>
      <c r="U246" s="1" t="s">
        <v>458</v>
      </c>
      <c r="V246" s="1">
        <v>2021</v>
      </c>
      <c r="W246" s="1">
        <v>7</v>
      </c>
      <c r="X246" s="1">
        <v>10</v>
      </c>
      <c r="Y246" s="1" t="s">
        <v>48</v>
      </c>
      <c r="Z246" s="1" t="s">
        <v>48</v>
      </c>
      <c r="AA246" s="1" t="s">
        <v>48</v>
      </c>
      <c r="AB246" s="1" t="s">
        <v>48</v>
      </c>
      <c r="AC246" s="1" t="s">
        <v>48</v>
      </c>
      <c r="AD246" s="1" t="s">
        <v>48</v>
      </c>
      <c r="AE246" s="1">
        <v>362</v>
      </c>
      <c r="AF246" s="1" t="s">
        <v>9880</v>
      </c>
      <c r="AG246" s="1" t="str">
        <f>HYPERLINK("http://dx.doi.org/10.3390/universe7100362","http://dx.doi.org/10.3390/universe7100362")</f>
        <v>http://dx.doi.org/10.3390/universe7100362</v>
      </c>
      <c r="AH246" s="1" t="s">
        <v>48</v>
      </c>
      <c r="AI246" s="1" t="s">
        <v>48</v>
      </c>
      <c r="AJ246" s="1">
        <v>12</v>
      </c>
      <c r="AK246" s="1" t="s">
        <v>3980</v>
      </c>
      <c r="AL246" s="1" t="s">
        <v>67</v>
      </c>
      <c r="AM246" s="1" t="s">
        <v>3709</v>
      </c>
      <c r="AN246" s="1" t="s">
        <v>48</v>
      </c>
      <c r="AO246" s="1" t="s">
        <v>125</v>
      </c>
      <c r="AP246" s="1" t="s">
        <v>48</v>
      </c>
      <c r="AQ246" s="1" t="s">
        <v>48</v>
      </c>
      <c r="AR246" s="1" t="s">
        <v>10610</v>
      </c>
    </row>
    <row r="247" spans="1:44" x14ac:dyDescent="0.45">
      <c r="A247" s="1" t="s">
        <v>5367</v>
      </c>
      <c r="B247" s="1" t="s">
        <v>9881</v>
      </c>
      <c r="C247" s="1" t="s">
        <v>9882</v>
      </c>
      <c r="D247" s="1" t="s">
        <v>52</v>
      </c>
      <c r="E247" s="1" t="s">
        <v>53</v>
      </c>
      <c r="F247" s="1" t="s">
        <v>9883</v>
      </c>
      <c r="G247" s="1" t="s">
        <v>5368</v>
      </c>
      <c r="H247" s="1" t="s">
        <v>9884</v>
      </c>
      <c r="I247" s="1">
        <v>69</v>
      </c>
      <c r="J247" s="1">
        <v>3</v>
      </c>
      <c r="K247" s="1">
        <v>0</v>
      </c>
      <c r="L247" s="1">
        <v>3</v>
      </c>
      <c r="M247" s="1" t="s">
        <v>215</v>
      </c>
      <c r="N247" s="1" t="s">
        <v>158</v>
      </c>
      <c r="O247" s="1" t="s">
        <v>216</v>
      </c>
      <c r="P247" s="1" t="s">
        <v>9885</v>
      </c>
      <c r="Q247" s="1" t="s">
        <v>9886</v>
      </c>
      <c r="R247" s="1" t="s">
        <v>48</v>
      </c>
      <c r="S247" s="1" t="s">
        <v>9887</v>
      </c>
      <c r="T247" s="1" t="s">
        <v>9888</v>
      </c>
      <c r="U247" s="1" t="s">
        <v>598</v>
      </c>
      <c r="V247" s="1">
        <v>2021</v>
      </c>
      <c r="W247" s="1">
        <v>185</v>
      </c>
      <c r="X247" s="1" t="s">
        <v>48</v>
      </c>
      <c r="Y247" s="1" t="s">
        <v>48</v>
      </c>
      <c r="Z247" s="1" t="s">
        <v>48</v>
      </c>
      <c r="AA247" s="1" t="s">
        <v>48</v>
      </c>
      <c r="AB247" s="1" t="s">
        <v>48</v>
      </c>
      <c r="AC247" s="1" t="s">
        <v>48</v>
      </c>
      <c r="AD247" s="1" t="s">
        <v>48</v>
      </c>
      <c r="AE247" s="1">
        <v>109511</v>
      </c>
      <c r="AF247" s="1" t="s">
        <v>9889</v>
      </c>
      <c r="AG247" s="1" t="str">
        <f>HYPERLINK("http://dx.doi.org/10.1016/j.radphyschem.2021.109511","http://dx.doi.org/10.1016/j.radphyschem.2021.109511")</f>
        <v>http://dx.doi.org/10.1016/j.radphyschem.2021.109511</v>
      </c>
      <c r="AH247" s="1" t="s">
        <v>48</v>
      </c>
      <c r="AI247" s="1" t="s">
        <v>10613</v>
      </c>
      <c r="AJ247" s="1">
        <v>11</v>
      </c>
      <c r="AK247" s="1" t="s">
        <v>9890</v>
      </c>
      <c r="AL247" s="1" t="s">
        <v>67</v>
      </c>
      <c r="AM247" s="1" t="s">
        <v>9891</v>
      </c>
      <c r="AN247" s="1" t="s">
        <v>48</v>
      </c>
      <c r="AO247" s="1" t="s">
        <v>48</v>
      </c>
      <c r="AP247" s="1" t="s">
        <v>48</v>
      </c>
      <c r="AQ247" s="1" t="s">
        <v>48</v>
      </c>
      <c r="AR247" s="1" t="s">
        <v>10610</v>
      </c>
    </row>
    <row r="248" spans="1:44" x14ac:dyDescent="0.45">
      <c r="A248" s="1" t="s">
        <v>9892</v>
      </c>
      <c r="B248" s="1" t="s">
        <v>9893</v>
      </c>
      <c r="C248" s="1" t="s">
        <v>4053</v>
      </c>
      <c r="D248" s="1" t="s">
        <v>52</v>
      </c>
      <c r="E248" s="1" t="s">
        <v>53</v>
      </c>
      <c r="F248" s="1" t="s">
        <v>9894</v>
      </c>
      <c r="G248" s="1" t="s">
        <v>5698</v>
      </c>
      <c r="H248" s="1" t="s">
        <v>227</v>
      </c>
      <c r="I248" s="1">
        <v>48</v>
      </c>
      <c r="J248" s="1">
        <v>85</v>
      </c>
      <c r="K248" s="1">
        <v>4</v>
      </c>
      <c r="L248" s="1">
        <v>37</v>
      </c>
      <c r="M248" s="1" t="s">
        <v>503</v>
      </c>
      <c r="N248" s="1" t="s">
        <v>542</v>
      </c>
      <c r="O248" s="1" t="s">
        <v>543</v>
      </c>
      <c r="P248" s="1" t="s">
        <v>4056</v>
      </c>
      <c r="Q248" s="1" t="s">
        <v>4057</v>
      </c>
      <c r="R248" s="1" t="s">
        <v>48</v>
      </c>
      <c r="S248" s="1" t="s">
        <v>4058</v>
      </c>
      <c r="T248" s="1" t="s">
        <v>4059</v>
      </c>
      <c r="U248" s="1" t="s">
        <v>832</v>
      </c>
      <c r="V248" s="1">
        <v>2023</v>
      </c>
      <c r="W248" s="1">
        <v>324</v>
      </c>
      <c r="X248" s="1" t="s">
        <v>1614</v>
      </c>
      <c r="Y248" s="1" t="s">
        <v>48</v>
      </c>
      <c r="Z248" s="1" t="s">
        <v>48</v>
      </c>
      <c r="AA248" s="1" t="s">
        <v>1260</v>
      </c>
      <c r="AB248" s="1" t="s">
        <v>48</v>
      </c>
      <c r="AC248" s="1">
        <v>283</v>
      </c>
      <c r="AD248" s="1">
        <v>309</v>
      </c>
      <c r="AE248" s="1" t="s">
        <v>48</v>
      </c>
      <c r="AF248" s="1" t="s">
        <v>9895</v>
      </c>
      <c r="AG248" s="1" t="str">
        <f>HYPERLINK("http://dx.doi.org/10.1007/s10479-020-03809-z","http://dx.doi.org/10.1007/s10479-020-03809-z")</f>
        <v>http://dx.doi.org/10.1007/s10479-020-03809-z</v>
      </c>
      <c r="AH248" s="1" t="s">
        <v>48</v>
      </c>
      <c r="AI248" s="1" t="s">
        <v>10617</v>
      </c>
      <c r="AJ248" s="1">
        <v>27</v>
      </c>
      <c r="AK248" s="1" t="s">
        <v>580</v>
      </c>
      <c r="AL248" s="1" t="s">
        <v>67</v>
      </c>
      <c r="AM248" s="1" t="s">
        <v>580</v>
      </c>
      <c r="AN248" s="1" t="s">
        <v>48</v>
      </c>
      <c r="AO248" s="1" t="s">
        <v>48</v>
      </c>
      <c r="AP248" s="1" t="s">
        <v>48</v>
      </c>
      <c r="AQ248" s="1" t="s">
        <v>48</v>
      </c>
      <c r="AR248" s="1" t="s">
        <v>10610</v>
      </c>
    </row>
    <row r="249" spans="1:44" x14ac:dyDescent="0.45">
      <c r="A249" s="1" t="s">
        <v>9732</v>
      </c>
      <c r="B249" s="1" t="s">
        <v>9914</v>
      </c>
      <c r="C249" s="1" t="s">
        <v>9915</v>
      </c>
      <c r="D249" s="1" t="s">
        <v>52</v>
      </c>
      <c r="E249" s="1" t="s">
        <v>53</v>
      </c>
      <c r="F249" s="1" t="s">
        <v>9912</v>
      </c>
      <c r="G249" s="1" t="s">
        <v>9820</v>
      </c>
      <c r="H249" s="1" t="s">
        <v>431</v>
      </c>
      <c r="I249" s="1">
        <v>9</v>
      </c>
      <c r="J249" s="1">
        <v>4</v>
      </c>
      <c r="K249" s="1">
        <v>0</v>
      </c>
      <c r="L249" s="1">
        <v>1</v>
      </c>
      <c r="M249" s="1" t="s">
        <v>252</v>
      </c>
      <c r="N249" s="1" t="s">
        <v>253</v>
      </c>
      <c r="O249" s="1" t="s">
        <v>254</v>
      </c>
      <c r="P249" s="1" t="s">
        <v>9916</v>
      </c>
      <c r="Q249" s="1" t="s">
        <v>9917</v>
      </c>
      <c r="R249" s="1" t="s">
        <v>48</v>
      </c>
      <c r="S249" s="1" t="s">
        <v>9918</v>
      </c>
      <c r="T249" s="1" t="s">
        <v>9919</v>
      </c>
      <c r="U249" s="1" t="s">
        <v>320</v>
      </c>
      <c r="V249" s="1">
        <v>2023</v>
      </c>
      <c r="W249" s="1">
        <v>31</v>
      </c>
      <c r="X249" s="1">
        <v>3</v>
      </c>
      <c r="Y249" s="1" t="s">
        <v>48</v>
      </c>
      <c r="Z249" s="1" t="s">
        <v>48</v>
      </c>
      <c r="AA249" s="1" t="s">
        <v>48</v>
      </c>
      <c r="AB249" s="1" t="s">
        <v>48</v>
      </c>
      <c r="AC249" s="1">
        <v>427</v>
      </c>
      <c r="AD249" s="1">
        <v>433</v>
      </c>
      <c r="AE249" s="1" t="s">
        <v>48</v>
      </c>
      <c r="AF249" s="1" t="s">
        <v>9920</v>
      </c>
      <c r="AG249" s="1" t="str">
        <f>HYPERLINK("http://dx.doi.org/10.1007/s10389-021-01512-2","http://dx.doi.org/10.1007/s10389-021-01512-2")</f>
        <v>http://dx.doi.org/10.1007/s10389-021-01512-2</v>
      </c>
      <c r="AH249" s="1" t="s">
        <v>48</v>
      </c>
      <c r="AI249" s="1" t="s">
        <v>10618</v>
      </c>
      <c r="AJ249" s="1">
        <v>7</v>
      </c>
      <c r="AK249" s="1" t="s">
        <v>943</v>
      </c>
      <c r="AL249" s="1" t="s">
        <v>124</v>
      </c>
      <c r="AM249" s="1" t="s">
        <v>943</v>
      </c>
      <c r="AN249" s="1">
        <v>33777651</v>
      </c>
      <c r="AO249" s="1" t="s">
        <v>1325</v>
      </c>
      <c r="AP249" s="1" t="s">
        <v>48</v>
      </c>
      <c r="AQ249" s="1" t="s">
        <v>48</v>
      </c>
      <c r="AR249" s="1" t="s">
        <v>10610</v>
      </c>
    </row>
    <row r="250" spans="1:44" x14ac:dyDescent="0.45">
      <c r="A250" s="1" t="s">
        <v>6031</v>
      </c>
      <c r="B250" s="1" t="s">
        <v>9921</v>
      </c>
      <c r="C250" s="1" t="s">
        <v>308</v>
      </c>
      <c r="D250" s="1" t="s">
        <v>52</v>
      </c>
      <c r="E250" s="1" t="s">
        <v>53</v>
      </c>
      <c r="F250" s="1" t="s">
        <v>9922</v>
      </c>
      <c r="G250" s="1" t="s">
        <v>5698</v>
      </c>
      <c r="H250" s="1" t="s">
        <v>227</v>
      </c>
      <c r="I250" s="1">
        <v>47</v>
      </c>
      <c r="J250" s="1">
        <v>41</v>
      </c>
      <c r="K250" s="1">
        <v>2</v>
      </c>
      <c r="L250" s="1">
        <v>11</v>
      </c>
      <c r="M250" s="1" t="s">
        <v>313</v>
      </c>
      <c r="N250" s="1" t="s">
        <v>314</v>
      </c>
      <c r="O250" s="1" t="s">
        <v>315</v>
      </c>
      <c r="P250" s="1" t="s">
        <v>316</v>
      </c>
      <c r="Q250" s="1" t="s">
        <v>317</v>
      </c>
      <c r="R250" s="1" t="s">
        <v>48</v>
      </c>
      <c r="S250" s="1" t="s">
        <v>318</v>
      </c>
      <c r="T250" s="1" t="s">
        <v>319</v>
      </c>
      <c r="U250" s="1" t="s">
        <v>103</v>
      </c>
      <c r="V250" s="1">
        <v>2021</v>
      </c>
      <c r="W250" s="1">
        <v>17</v>
      </c>
      <c r="X250" s="1">
        <v>4</v>
      </c>
      <c r="Y250" s="1" t="s">
        <v>48</v>
      </c>
      <c r="Z250" s="1" t="s">
        <v>48</v>
      </c>
      <c r="AA250" s="1" t="s">
        <v>48</v>
      </c>
      <c r="AB250" s="1" t="s">
        <v>48</v>
      </c>
      <c r="AC250" s="1">
        <v>1913</v>
      </c>
      <c r="AD250" s="1">
        <v>1941</v>
      </c>
      <c r="AE250" s="1" t="s">
        <v>48</v>
      </c>
      <c r="AF250" s="1" t="s">
        <v>9923</v>
      </c>
      <c r="AG250" s="1" t="str">
        <f>HYPERLINK("http://dx.doi.org/10.3934/jimo.2020052","http://dx.doi.org/10.3934/jimo.2020052")</f>
        <v>http://dx.doi.org/10.3934/jimo.2020052</v>
      </c>
      <c r="AH250" s="1" t="s">
        <v>48</v>
      </c>
      <c r="AI250" s="1" t="s">
        <v>48</v>
      </c>
      <c r="AJ250" s="1">
        <v>29</v>
      </c>
      <c r="AK250" s="1" t="s">
        <v>322</v>
      </c>
      <c r="AL250" s="1" t="s">
        <v>67</v>
      </c>
      <c r="AM250" s="1" t="s">
        <v>323</v>
      </c>
      <c r="AN250" s="1" t="s">
        <v>48</v>
      </c>
      <c r="AO250" s="1" t="s">
        <v>125</v>
      </c>
      <c r="AP250" s="1" t="s">
        <v>48</v>
      </c>
      <c r="AQ250" s="1" t="s">
        <v>48</v>
      </c>
      <c r="AR250" s="1" t="s">
        <v>10610</v>
      </c>
    </row>
    <row r="251" spans="1:44" x14ac:dyDescent="0.45">
      <c r="A251" s="1" t="s">
        <v>9924</v>
      </c>
      <c r="B251" s="1" t="s">
        <v>9925</v>
      </c>
      <c r="C251" s="1" t="s">
        <v>7298</v>
      </c>
      <c r="D251" s="1" t="s">
        <v>52</v>
      </c>
      <c r="E251" s="1" t="s">
        <v>53</v>
      </c>
      <c r="F251" s="1" t="s">
        <v>9926</v>
      </c>
      <c r="G251" s="1" t="s">
        <v>9927</v>
      </c>
      <c r="H251" s="1" t="s">
        <v>9928</v>
      </c>
      <c r="I251" s="1">
        <v>60</v>
      </c>
      <c r="J251" s="1">
        <v>22</v>
      </c>
      <c r="K251" s="1">
        <v>0</v>
      </c>
      <c r="L251" s="1">
        <v>3</v>
      </c>
      <c r="M251" s="1" t="s">
        <v>79</v>
      </c>
      <c r="N251" s="1" t="s">
        <v>80</v>
      </c>
      <c r="O251" s="1" t="s">
        <v>81</v>
      </c>
      <c r="P251" s="1" t="s">
        <v>7302</v>
      </c>
      <c r="Q251" s="1" t="s">
        <v>7303</v>
      </c>
      <c r="R251" s="1" t="s">
        <v>48</v>
      </c>
      <c r="S251" s="1" t="s">
        <v>7304</v>
      </c>
      <c r="T251" s="1" t="s">
        <v>7305</v>
      </c>
      <c r="U251" s="1" t="s">
        <v>386</v>
      </c>
      <c r="V251" s="1">
        <v>2021</v>
      </c>
      <c r="W251" s="1">
        <v>87</v>
      </c>
      <c r="X251" s="1" t="s">
        <v>48</v>
      </c>
      <c r="Y251" s="1" t="s">
        <v>48</v>
      </c>
      <c r="Z251" s="1" t="s">
        <v>48</v>
      </c>
      <c r="AA251" s="1" t="s">
        <v>48</v>
      </c>
      <c r="AB251" s="1" t="s">
        <v>48</v>
      </c>
      <c r="AC251" s="1" t="s">
        <v>48</v>
      </c>
      <c r="AD251" s="1" t="s">
        <v>48</v>
      </c>
      <c r="AE251" s="1">
        <v>104633</v>
      </c>
      <c r="AF251" s="1" t="s">
        <v>9929</v>
      </c>
      <c r="AG251" s="1" t="str">
        <f>HYPERLINK("http://dx.doi.org/10.1016/j.meegid.2020.104633","http://dx.doi.org/10.1016/j.meegid.2020.104633")</f>
        <v>http://dx.doi.org/10.1016/j.meegid.2020.104633</v>
      </c>
      <c r="AH251" s="1" t="s">
        <v>48</v>
      </c>
      <c r="AI251" s="1" t="s">
        <v>10619</v>
      </c>
      <c r="AJ251" s="1">
        <v>13</v>
      </c>
      <c r="AK251" s="1" t="s">
        <v>1757</v>
      </c>
      <c r="AL251" s="1" t="s">
        <v>67</v>
      </c>
      <c r="AM251" s="1" t="s">
        <v>1757</v>
      </c>
      <c r="AN251" s="1">
        <v>33181335</v>
      </c>
      <c r="AO251" s="1" t="s">
        <v>48</v>
      </c>
      <c r="AP251" s="1" t="s">
        <v>48</v>
      </c>
      <c r="AQ251" s="1" t="s">
        <v>48</v>
      </c>
      <c r="AR251" s="1" t="s">
        <v>10610</v>
      </c>
    </row>
    <row r="252" spans="1:44" x14ac:dyDescent="0.45">
      <c r="A252" s="1" t="s">
        <v>9941</v>
      </c>
      <c r="B252" s="1" t="s">
        <v>9942</v>
      </c>
      <c r="C252" s="1" t="s">
        <v>1812</v>
      </c>
      <c r="D252" s="1" t="s">
        <v>52</v>
      </c>
      <c r="E252" s="1" t="s">
        <v>53</v>
      </c>
      <c r="F252" s="1" t="s">
        <v>9943</v>
      </c>
      <c r="G252" s="1" t="s">
        <v>5464</v>
      </c>
      <c r="H252" s="1" t="s">
        <v>9944</v>
      </c>
      <c r="I252" s="1">
        <v>40</v>
      </c>
      <c r="J252" s="1">
        <v>6</v>
      </c>
      <c r="K252" s="1">
        <v>0</v>
      </c>
      <c r="L252" s="1">
        <v>4</v>
      </c>
      <c r="M252" s="1" t="s">
        <v>503</v>
      </c>
      <c r="N252" s="1" t="s">
        <v>504</v>
      </c>
      <c r="O252" s="1" t="s">
        <v>505</v>
      </c>
      <c r="P252" s="1" t="s">
        <v>1814</v>
      </c>
      <c r="Q252" s="1" t="s">
        <v>1815</v>
      </c>
      <c r="R252" s="1" t="s">
        <v>48</v>
      </c>
      <c r="S252" s="1" t="s">
        <v>1816</v>
      </c>
      <c r="T252" s="1" t="s">
        <v>1817</v>
      </c>
      <c r="U252" s="1" t="s">
        <v>86</v>
      </c>
      <c r="V252" s="1">
        <v>2021</v>
      </c>
      <c r="W252" s="1">
        <v>25</v>
      </c>
      <c r="X252" s="1">
        <v>24</v>
      </c>
      <c r="Y252" s="1" t="s">
        <v>48</v>
      </c>
      <c r="Z252" s="1" t="s">
        <v>48</v>
      </c>
      <c r="AA252" s="1" t="s">
        <v>48</v>
      </c>
      <c r="AB252" s="1" t="s">
        <v>48</v>
      </c>
      <c r="AC252" s="1">
        <v>15083</v>
      </c>
      <c r="AD252" s="1">
        <v>15114</v>
      </c>
      <c r="AE252" s="1" t="s">
        <v>48</v>
      </c>
      <c r="AF252" s="1" t="s">
        <v>9945</v>
      </c>
      <c r="AG252" s="1" t="str">
        <f>HYPERLINK("http://dx.doi.org/10.1007/s00500-021-06371-3","http://dx.doi.org/10.1007/s00500-021-06371-3")</f>
        <v>http://dx.doi.org/10.1007/s00500-021-06371-3</v>
      </c>
      <c r="AH252" s="1" t="s">
        <v>48</v>
      </c>
      <c r="AI252" s="1" t="s">
        <v>10615</v>
      </c>
      <c r="AJ252" s="1">
        <v>32</v>
      </c>
      <c r="AK252" s="1" t="s">
        <v>1746</v>
      </c>
      <c r="AL252" s="1" t="s">
        <v>67</v>
      </c>
      <c r="AM252" s="1" t="s">
        <v>292</v>
      </c>
      <c r="AN252" s="1" t="s">
        <v>48</v>
      </c>
      <c r="AO252" s="1" t="s">
        <v>48</v>
      </c>
      <c r="AP252" s="1" t="s">
        <v>48</v>
      </c>
      <c r="AQ252" s="1" t="s">
        <v>48</v>
      </c>
      <c r="AR252" s="1" t="s">
        <v>10610</v>
      </c>
    </row>
    <row r="253" spans="1:44" x14ac:dyDescent="0.45">
      <c r="A253" s="1" t="s">
        <v>9946</v>
      </c>
      <c r="B253" s="1" t="s">
        <v>9947</v>
      </c>
      <c r="C253" s="1" t="s">
        <v>9948</v>
      </c>
      <c r="D253" s="1" t="s">
        <v>52</v>
      </c>
      <c r="E253" s="1" t="s">
        <v>53</v>
      </c>
      <c r="F253" s="1" t="s">
        <v>9949</v>
      </c>
      <c r="G253" s="1" t="s">
        <v>9950</v>
      </c>
      <c r="H253" s="1" t="s">
        <v>9951</v>
      </c>
      <c r="I253" s="1">
        <v>43</v>
      </c>
      <c r="J253" s="1">
        <v>7</v>
      </c>
      <c r="K253" s="1">
        <v>0</v>
      </c>
      <c r="L253" s="1">
        <v>10</v>
      </c>
      <c r="M253" s="1" t="s">
        <v>2270</v>
      </c>
      <c r="N253" s="1" t="s">
        <v>2271</v>
      </c>
      <c r="O253" s="1" t="s">
        <v>2272</v>
      </c>
      <c r="P253" s="1" t="s">
        <v>9952</v>
      </c>
      <c r="Q253" s="1" t="s">
        <v>9953</v>
      </c>
      <c r="R253" s="1" t="s">
        <v>48</v>
      </c>
      <c r="S253" s="1" t="s">
        <v>9954</v>
      </c>
      <c r="T253" s="1" t="s">
        <v>9955</v>
      </c>
      <c r="U253" s="1" t="s">
        <v>436</v>
      </c>
      <c r="V253" s="1">
        <v>2022</v>
      </c>
      <c r="W253" s="1">
        <v>6</v>
      </c>
      <c r="X253" s="1">
        <v>3</v>
      </c>
      <c r="Y253" s="1" t="s">
        <v>48</v>
      </c>
      <c r="Z253" s="1" t="s">
        <v>48</v>
      </c>
      <c r="AA253" s="1" t="s">
        <v>48</v>
      </c>
      <c r="AB253" s="1" t="s">
        <v>48</v>
      </c>
      <c r="AC253" s="1">
        <v>759</v>
      </c>
      <c r="AD253" s="1">
        <v>770</v>
      </c>
      <c r="AE253" s="1" t="s">
        <v>48</v>
      </c>
      <c r="AF253" s="1" t="s">
        <v>9956</v>
      </c>
      <c r="AG253" s="1" t="str">
        <f>HYPERLINK("http://dx.doi.org/10.1007/s41748-020-00198-y","http://dx.doi.org/10.1007/s41748-020-00198-y")</f>
        <v>http://dx.doi.org/10.1007/s41748-020-00198-y</v>
      </c>
      <c r="AH253" s="1" t="s">
        <v>48</v>
      </c>
      <c r="AI253" s="1" t="s">
        <v>10619</v>
      </c>
      <c r="AJ253" s="1">
        <v>12</v>
      </c>
      <c r="AK253" s="1" t="s">
        <v>8333</v>
      </c>
      <c r="AL253" s="1" t="s">
        <v>124</v>
      </c>
      <c r="AM253" s="1" t="s">
        <v>8334</v>
      </c>
      <c r="AN253" s="1" t="s">
        <v>48</v>
      </c>
      <c r="AO253" s="1" t="s">
        <v>48</v>
      </c>
      <c r="AP253" s="1" t="s">
        <v>48</v>
      </c>
      <c r="AQ253" s="1" t="s">
        <v>48</v>
      </c>
      <c r="AR253" s="1" t="s">
        <v>10610</v>
      </c>
    </row>
    <row r="254" spans="1:44" x14ac:dyDescent="0.45">
      <c r="A254" s="1" t="s">
        <v>9965</v>
      </c>
      <c r="B254" s="1" t="s">
        <v>9966</v>
      </c>
      <c r="C254" s="1" t="s">
        <v>9967</v>
      </c>
      <c r="D254" s="1" t="s">
        <v>52</v>
      </c>
      <c r="E254" s="1" t="s">
        <v>53</v>
      </c>
      <c r="F254" s="1" t="s">
        <v>9968</v>
      </c>
      <c r="G254" s="1" t="s">
        <v>9969</v>
      </c>
      <c r="H254" s="1" t="s">
        <v>9970</v>
      </c>
      <c r="I254" s="1">
        <v>28</v>
      </c>
      <c r="J254" s="1">
        <v>3</v>
      </c>
      <c r="K254" s="1">
        <v>3</v>
      </c>
      <c r="L254" s="1">
        <v>27</v>
      </c>
      <c r="M254" s="1" t="s">
        <v>1242</v>
      </c>
      <c r="N254" s="1" t="s">
        <v>1243</v>
      </c>
      <c r="O254" s="1" t="s">
        <v>1244</v>
      </c>
      <c r="P254" s="1" t="s">
        <v>9971</v>
      </c>
      <c r="Q254" s="1" t="s">
        <v>9972</v>
      </c>
      <c r="R254" s="1" t="s">
        <v>48</v>
      </c>
      <c r="S254" s="1" t="s">
        <v>9973</v>
      </c>
      <c r="T254" s="1" t="s">
        <v>9974</v>
      </c>
      <c r="U254" s="1" t="s">
        <v>10645</v>
      </c>
      <c r="V254" s="1">
        <v>2022</v>
      </c>
      <c r="W254" s="1">
        <v>26</v>
      </c>
      <c r="X254" s="1">
        <v>1</v>
      </c>
      <c r="Y254" s="1" t="s">
        <v>48</v>
      </c>
      <c r="Z254" s="1" t="s">
        <v>48</v>
      </c>
      <c r="AA254" s="1" t="s">
        <v>48</v>
      </c>
      <c r="AB254" s="1" t="s">
        <v>48</v>
      </c>
      <c r="AC254" s="1">
        <v>76</v>
      </c>
      <c r="AD254" s="1">
        <v>87</v>
      </c>
      <c r="AE254" s="1" t="s">
        <v>48</v>
      </c>
      <c r="AF254" s="1" t="s">
        <v>9975</v>
      </c>
      <c r="AG254" s="1" t="str">
        <f>HYPERLINK("http://dx.doi.org/10.1080/10889868.2021.1900054","http://dx.doi.org/10.1080/10889868.2021.1900054")</f>
        <v>http://dx.doi.org/10.1080/10889868.2021.1900054</v>
      </c>
      <c r="AH254" s="1" t="s">
        <v>48</v>
      </c>
      <c r="AI254" s="1" t="s">
        <v>10618</v>
      </c>
      <c r="AJ254" s="1">
        <v>12</v>
      </c>
      <c r="AK254" s="1" t="s">
        <v>8617</v>
      </c>
      <c r="AL254" s="1" t="s">
        <v>67</v>
      </c>
      <c r="AM254" s="1" t="s">
        <v>8618</v>
      </c>
      <c r="AN254" s="1" t="s">
        <v>48</v>
      </c>
      <c r="AO254" s="1" t="s">
        <v>48</v>
      </c>
      <c r="AP254" s="1" t="s">
        <v>48</v>
      </c>
      <c r="AQ254" s="1" t="s">
        <v>48</v>
      </c>
      <c r="AR254" s="1" t="s">
        <v>10610</v>
      </c>
    </row>
    <row r="255" spans="1:44" x14ac:dyDescent="0.45">
      <c r="A255" s="1" t="s">
        <v>9976</v>
      </c>
      <c r="B255" s="1" t="s">
        <v>9977</v>
      </c>
      <c r="C255" s="1" t="s">
        <v>1812</v>
      </c>
      <c r="D255" s="1" t="s">
        <v>52</v>
      </c>
      <c r="E255" s="1" t="s">
        <v>539</v>
      </c>
      <c r="F255" s="1" t="s">
        <v>9978</v>
      </c>
      <c r="G255" s="1" t="s">
        <v>5464</v>
      </c>
      <c r="H255" s="1" t="s">
        <v>9944</v>
      </c>
      <c r="I255" s="1">
        <v>1</v>
      </c>
      <c r="J255" s="1">
        <v>0</v>
      </c>
      <c r="K255" s="1">
        <v>0</v>
      </c>
      <c r="L255" s="1">
        <v>0</v>
      </c>
      <c r="M255" s="1" t="s">
        <v>503</v>
      </c>
      <c r="N255" s="1" t="s">
        <v>504</v>
      </c>
      <c r="O255" s="1" t="s">
        <v>505</v>
      </c>
      <c r="P255" s="1" t="s">
        <v>1814</v>
      </c>
      <c r="Q255" s="1" t="s">
        <v>1815</v>
      </c>
      <c r="R255" s="1" t="s">
        <v>48</v>
      </c>
      <c r="S255" s="1" t="s">
        <v>1816</v>
      </c>
      <c r="T255" s="1" t="s">
        <v>1817</v>
      </c>
      <c r="U255" s="1" t="s">
        <v>386</v>
      </c>
      <c r="V255" s="1">
        <v>2022</v>
      </c>
      <c r="W255" s="1">
        <v>26</v>
      </c>
      <c r="X255" s="1">
        <v>1</v>
      </c>
      <c r="Y255" s="1" t="s">
        <v>48</v>
      </c>
      <c r="Z255" s="1" t="s">
        <v>48</v>
      </c>
      <c r="AA255" s="1" t="s">
        <v>48</v>
      </c>
      <c r="AB255" s="1" t="s">
        <v>48</v>
      </c>
      <c r="AC255" s="1">
        <v>463</v>
      </c>
      <c r="AD255" s="1">
        <v>463</v>
      </c>
      <c r="AE255" s="1" t="s">
        <v>48</v>
      </c>
      <c r="AF255" s="1" t="s">
        <v>9979</v>
      </c>
      <c r="AG255" s="1" t="str">
        <f>HYPERLINK("http://dx.doi.org/10.1007/s00500-021-06597-1","http://dx.doi.org/10.1007/s00500-021-06597-1")</f>
        <v>http://dx.doi.org/10.1007/s00500-021-06597-1</v>
      </c>
      <c r="AH255" s="1" t="s">
        <v>48</v>
      </c>
      <c r="AI255" s="1" t="s">
        <v>10616</v>
      </c>
      <c r="AJ255" s="1">
        <v>1</v>
      </c>
      <c r="AK255" s="1" t="s">
        <v>1746</v>
      </c>
      <c r="AL255" s="1" t="s">
        <v>67</v>
      </c>
      <c r="AM255" s="1" t="s">
        <v>292</v>
      </c>
      <c r="AN255" s="1" t="s">
        <v>48</v>
      </c>
      <c r="AO255" s="1" t="s">
        <v>550</v>
      </c>
      <c r="AP255" s="1" t="s">
        <v>48</v>
      </c>
      <c r="AQ255" s="1" t="s">
        <v>48</v>
      </c>
      <c r="AR255" s="1" t="s">
        <v>10610</v>
      </c>
    </row>
    <row r="256" spans="1:44" x14ac:dyDescent="0.45">
      <c r="A256" s="1" t="s">
        <v>9957</v>
      </c>
      <c r="B256" s="1" t="s">
        <v>9958</v>
      </c>
      <c r="C256" s="1" t="s">
        <v>2841</v>
      </c>
      <c r="D256" s="1" t="s">
        <v>52</v>
      </c>
      <c r="E256" s="1" t="s">
        <v>539</v>
      </c>
      <c r="F256" s="1" t="s">
        <v>9959</v>
      </c>
      <c r="G256" s="1" t="s">
        <v>5464</v>
      </c>
      <c r="H256" s="1" t="s">
        <v>9944</v>
      </c>
      <c r="I256" s="1">
        <v>1</v>
      </c>
      <c r="J256" s="1">
        <v>0</v>
      </c>
      <c r="K256" s="1">
        <v>0</v>
      </c>
      <c r="L256" s="1">
        <v>0</v>
      </c>
      <c r="M256" s="1" t="s">
        <v>1523</v>
      </c>
      <c r="N256" s="1" t="s">
        <v>632</v>
      </c>
      <c r="O256" s="1" t="s">
        <v>1524</v>
      </c>
      <c r="P256" s="1" t="s">
        <v>2844</v>
      </c>
      <c r="Q256" s="1" t="s">
        <v>2845</v>
      </c>
      <c r="R256" s="1" t="s">
        <v>48</v>
      </c>
      <c r="S256" s="1" t="s">
        <v>2846</v>
      </c>
      <c r="T256" s="1" t="s">
        <v>2847</v>
      </c>
      <c r="U256" s="1" t="s">
        <v>458</v>
      </c>
      <c r="V256" s="1">
        <v>2022</v>
      </c>
      <c r="W256" s="1">
        <v>7</v>
      </c>
      <c r="X256" s="1">
        <v>4</v>
      </c>
      <c r="Y256" s="1" t="s">
        <v>48</v>
      </c>
      <c r="Z256" s="1" t="s">
        <v>48</v>
      </c>
      <c r="AA256" s="1" t="s">
        <v>48</v>
      </c>
      <c r="AB256" s="1" t="s">
        <v>48</v>
      </c>
      <c r="AC256" s="1">
        <v>799</v>
      </c>
      <c r="AD256" s="1">
        <v>799</v>
      </c>
      <c r="AE256" s="1" t="s">
        <v>48</v>
      </c>
      <c r="AF256" s="1" t="s">
        <v>9960</v>
      </c>
      <c r="AG256" s="1" t="str">
        <f>HYPERLINK("http://dx.doi.org/10.1007/s41066-021-00303-0","http://dx.doi.org/10.1007/s41066-021-00303-0")</f>
        <v>http://dx.doi.org/10.1007/s41066-021-00303-0</v>
      </c>
      <c r="AH256" s="1" t="s">
        <v>48</v>
      </c>
      <c r="AI256" s="1" t="s">
        <v>10616</v>
      </c>
      <c r="AJ256" s="1">
        <v>1</v>
      </c>
      <c r="AK256" s="1" t="s">
        <v>2849</v>
      </c>
      <c r="AL256" s="1" t="s">
        <v>124</v>
      </c>
      <c r="AM256" s="1" t="s">
        <v>292</v>
      </c>
      <c r="AN256" s="1" t="s">
        <v>48</v>
      </c>
      <c r="AO256" s="1" t="s">
        <v>550</v>
      </c>
      <c r="AP256" s="1" t="s">
        <v>48</v>
      </c>
      <c r="AQ256" s="1" t="s">
        <v>48</v>
      </c>
      <c r="AR256" s="1" t="s">
        <v>10610</v>
      </c>
    </row>
    <row r="257" spans="1:44" x14ac:dyDescent="0.45">
      <c r="A257" s="1" t="s">
        <v>9930</v>
      </c>
      <c r="B257" s="1" t="s">
        <v>9931</v>
      </c>
      <c r="C257" s="1" t="s">
        <v>9932</v>
      </c>
      <c r="D257" s="1" t="s">
        <v>52</v>
      </c>
      <c r="E257" s="1" t="s">
        <v>3114</v>
      </c>
      <c r="F257" s="1" t="s">
        <v>9933</v>
      </c>
      <c r="G257" s="1" t="s">
        <v>9934</v>
      </c>
      <c r="H257" s="1" t="s">
        <v>9935</v>
      </c>
      <c r="I257" s="1">
        <v>57</v>
      </c>
      <c r="J257" s="1">
        <v>30</v>
      </c>
      <c r="K257" s="1">
        <v>1</v>
      </c>
      <c r="L257" s="1">
        <v>16</v>
      </c>
      <c r="M257" s="1" t="s">
        <v>2283</v>
      </c>
      <c r="N257" s="1" t="s">
        <v>632</v>
      </c>
      <c r="O257" s="1" t="s">
        <v>2284</v>
      </c>
      <c r="P257" s="1" t="s">
        <v>9936</v>
      </c>
      <c r="Q257" s="1" t="s">
        <v>9937</v>
      </c>
      <c r="R257" s="1" t="s">
        <v>48</v>
      </c>
      <c r="S257" s="1" t="s">
        <v>9938</v>
      </c>
      <c r="T257" s="1" t="s">
        <v>9939</v>
      </c>
      <c r="U257" s="1" t="s">
        <v>10646</v>
      </c>
      <c r="V257" s="1">
        <v>2021</v>
      </c>
      <c r="W257" s="1">
        <v>2021</v>
      </c>
      <c r="X257" s="1" t="s">
        <v>48</v>
      </c>
      <c r="Y257" s="1" t="s">
        <v>48</v>
      </c>
      <c r="Z257" s="1" t="s">
        <v>48</v>
      </c>
      <c r="AA257" s="1" t="s">
        <v>48</v>
      </c>
      <c r="AB257" s="1" t="s">
        <v>48</v>
      </c>
      <c r="AC257" s="1" t="s">
        <v>48</v>
      </c>
      <c r="AD257" s="1" t="s">
        <v>48</v>
      </c>
      <c r="AE257" s="1">
        <v>3218133</v>
      </c>
      <c r="AF257" s="1" t="s">
        <v>9940</v>
      </c>
      <c r="AG257" s="1" t="str">
        <f>HYPERLINK("http://dx.doi.org/10.1155/2021/3218133","http://dx.doi.org/10.1155/2021/3218133")</f>
        <v>http://dx.doi.org/10.1155/2021/3218133</v>
      </c>
      <c r="AH257" s="1" t="s">
        <v>48</v>
      </c>
      <c r="AI257" s="1" t="s">
        <v>48</v>
      </c>
      <c r="AJ257" s="1">
        <v>14</v>
      </c>
      <c r="AK257" s="1" t="s">
        <v>1248</v>
      </c>
      <c r="AL257" s="1" t="s">
        <v>944</v>
      </c>
      <c r="AM257" s="1" t="s">
        <v>1249</v>
      </c>
      <c r="AN257" s="1" t="s">
        <v>48</v>
      </c>
      <c r="AO257" s="1" t="s">
        <v>125</v>
      </c>
      <c r="AP257" s="1" t="s">
        <v>48</v>
      </c>
      <c r="AQ257" s="1" t="s">
        <v>48</v>
      </c>
      <c r="AR257" s="1" t="s">
        <v>10610</v>
      </c>
    </row>
    <row r="258" spans="1:44" x14ac:dyDescent="0.45">
      <c r="A258" s="1" t="s">
        <v>9961</v>
      </c>
      <c r="B258" s="1" t="s">
        <v>9962</v>
      </c>
      <c r="C258" s="1" t="s">
        <v>5412</v>
      </c>
      <c r="D258" s="1" t="s">
        <v>52</v>
      </c>
      <c r="E258" s="1" t="s">
        <v>53</v>
      </c>
      <c r="F258" s="1" t="s">
        <v>9963</v>
      </c>
      <c r="G258" s="1" t="s">
        <v>6531</v>
      </c>
      <c r="H258" s="1" t="s">
        <v>6380</v>
      </c>
      <c r="I258" s="1">
        <v>82</v>
      </c>
      <c r="J258" s="1">
        <v>16</v>
      </c>
      <c r="K258" s="1">
        <v>2</v>
      </c>
      <c r="L258" s="1">
        <v>17</v>
      </c>
      <c r="M258" s="1" t="s">
        <v>215</v>
      </c>
      <c r="N258" s="1" t="s">
        <v>158</v>
      </c>
      <c r="O258" s="1" t="s">
        <v>216</v>
      </c>
      <c r="P258" s="1" t="s">
        <v>5419</v>
      </c>
      <c r="Q258" s="1" t="s">
        <v>5420</v>
      </c>
      <c r="R258" s="1" t="s">
        <v>48</v>
      </c>
      <c r="S258" s="1" t="s">
        <v>5412</v>
      </c>
      <c r="T258" s="1" t="s">
        <v>5421</v>
      </c>
      <c r="U258" s="1" t="s">
        <v>1091</v>
      </c>
      <c r="V258" s="1">
        <v>2021</v>
      </c>
      <c r="W258" s="1">
        <v>201</v>
      </c>
      <c r="X258" s="1" t="s">
        <v>48</v>
      </c>
      <c r="Y258" s="1" t="s">
        <v>48</v>
      </c>
      <c r="Z258" s="1" t="s">
        <v>48</v>
      </c>
      <c r="AA258" s="1" t="s">
        <v>48</v>
      </c>
      <c r="AB258" s="1" t="s">
        <v>48</v>
      </c>
      <c r="AC258" s="1" t="s">
        <v>48</v>
      </c>
      <c r="AD258" s="1" t="s">
        <v>48</v>
      </c>
      <c r="AE258" s="1">
        <v>115146</v>
      </c>
      <c r="AF258" s="1" t="s">
        <v>9964</v>
      </c>
      <c r="AG258" s="1" t="str">
        <f>HYPERLINK("http://dx.doi.org/10.1016/j.poly.2021.115146","http://dx.doi.org/10.1016/j.poly.2021.115146")</f>
        <v>http://dx.doi.org/10.1016/j.poly.2021.115146</v>
      </c>
      <c r="AH258" s="1" t="s">
        <v>48</v>
      </c>
      <c r="AI258" s="1" t="s">
        <v>10621</v>
      </c>
      <c r="AJ258" s="1">
        <v>9</v>
      </c>
      <c r="AK258" s="1" t="s">
        <v>5423</v>
      </c>
      <c r="AL258" s="1" t="s">
        <v>3514</v>
      </c>
      <c r="AM258" s="1" t="s">
        <v>5424</v>
      </c>
      <c r="AN258" s="1" t="s">
        <v>48</v>
      </c>
      <c r="AO258" s="1" t="s">
        <v>48</v>
      </c>
      <c r="AP258" s="1" t="s">
        <v>48</v>
      </c>
      <c r="AQ258" s="1" t="s">
        <v>48</v>
      </c>
      <c r="AR258" s="1" t="s">
        <v>10610</v>
      </c>
    </row>
    <row r="259" spans="1:44" x14ac:dyDescent="0.45">
      <c r="A259" s="1" t="s">
        <v>9980</v>
      </c>
      <c r="B259" s="1" t="s">
        <v>9981</v>
      </c>
      <c r="C259" s="1" t="s">
        <v>379</v>
      </c>
      <c r="D259" s="1" t="s">
        <v>52</v>
      </c>
      <c r="E259" s="1" t="s">
        <v>53</v>
      </c>
      <c r="F259" s="1" t="s">
        <v>9982</v>
      </c>
      <c r="G259" s="1" t="s">
        <v>9983</v>
      </c>
      <c r="H259" s="1" t="s">
        <v>9984</v>
      </c>
      <c r="I259" s="1">
        <v>37</v>
      </c>
      <c r="J259" s="1">
        <v>13</v>
      </c>
      <c r="K259" s="1">
        <v>4</v>
      </c>
      <c r="L259" s="1">
        <v>16</v>
      </c>
      <c r="M259" s="1" t="s">
        <v>215</v>
      </c>
      <c r="N259" s="1" t="s">
        <v>158</v>
      </c>
      <c r="O259" s="1" t="s">
        <v>216</v>
      </c>
      <c r="P259" s="1" t="s">
        <v>382</v>
      </c>
      <c r="Q259" s="1" t="s">
        <v>383</v>
      </c>
      <c r="R259" s="1" t="s">
        <v>48</v>
      </c>
      <c r="S259" s="1" t="s">
        <v>384</v>
      </c>
      <c r="T259" s="1" t="s">
        <v>385</v>
      </c>
      <c r="U259" s="1" t="s">
        <v>458</v>
      </c>
      <c r="V259" s="1">
        <v>2021</v>
      </c>
      <c r="W259" s="1">
        <v>160</v>
      </c>
      <c r="X259" s="1" t="s">
        <v>48</v>
      </c>
      <c r="Y259" s="1" t="s">
        <v>48</v>
      </c>
      <c r="Z259" s="1" t="s">
        <v>48</v>
      </c>
      <c r="AA259" s="1" t="s">
        <v>48</v>
      </c>
      <c r="AB259" s="1" t="s">
        <v>48</v>
      </c>
      <c r="AC259" s="1" t="s">
        <v>48</v>
      </c>
      <c r="AD259" s="1" t="s">
        <v>48</v>
      </c>
      <c r="AE259" s="1">
        <v>107536</v>
      </c>
      <c r="AF259" s="1" t="s">
        <v>9985</v>
      </c>
      <c r="AG259" s="1" t="str">
        <f>HYPERLINK("http://dx.doi.org/10.1016/j.cie.2021.107536","http://dx.doi.org/10.1016/j.cie.2021.107536")</f>
        <v>http://dx.doi.org/10.1016/j.cie.2021.107536</v>
      </c>
      <c r="AH259" s="1" t="s">
        <v>48</v>
      </c>
      <c r="AI259" s="1" t="s">
        <v>10612</v>
      </c>
      <c r="AJ259" s="1">
        <v>14</v>
      </c>
      <c r="AK259" s="1" t="s">
        <v>388</v>
      </c>
      <c r="AL259" s="1" t="s">
        <v>67</v>
      </c>
      <c r="AM259" s="1" t="s">
        <v>389</v>
      </c>
      <c r="AN259" s="1" t="s">
        <v>48</v>
      </c>
      <c r="AO259" s="1" t="s">
        <v>48</v>
      </c>
      <c r="AP259" s="1" t="s">
        <v>48</v>
      </c>
      <c r="AQ259" s="1" t="s">
        <v>48</v>
      </c>
      <c r="AR259" s="1" t="s">
        <v>10610</v>
      </c>
    </row>
    <row r="260" spans="1:44" x14ac:dyDescent="0.45">
      <c r="A260" s="1" t="s">
        <v>9986</v>
      </c>
      <c r="B260" s="1" t="s">
        <v>9987</v>
      </c>
      <c r="C260" s="1" t="s">
        <v>404</v>
      </c>
      <c r="D260" s="1" t="s">
        <v>52</v>
      </c>
      <c r="E260" s="1" t="s">
        <v>53</v>
      </c>
      <c r="F260" s="1" t="s">
        <v>9988</v>
      </c>
      <c r="G260" s="1" t="s">
        <v>9800</v>
      </c>
      <c r="H260" s="1" t="s">
        <v>8945</v>
      </c>
      <c r="I260" s="1">
        <v>67</v>
      </c>
      <c r="J260" s="1">
        <v>5</v>
      </c>
      <c r="K260" s="1">
        <v>1</v>
      </c>
      <c r="L260" s="1">
        <v>3</v>
      </c>
      <c r="M260" s="1" t="s">
        <v>410</v>
      </c>
      <c r="N260" s="1" t="s">
        <v>411</v>
      </c>
      <c r="O260" s="1" t="s">
        <v>412</v>
      </c>
      <c r="P260" s="1" t="s">
        <v>413</v>
      </c>
      <c r="Q260" s="1" t="s">
        <v>48</v>
      </c>
      <c r="R260" s="1" t="s">
        <v>48</v>
      </c>
      <c r="S260" s="1" t="s">
        <v>414</v>
      </c>
      <c r="T260" s="1" t="s">
        <v>415</v>
      </c>
      <c r="U260" s="1" t="s">
        <v>1613</v>
      </c>
      <c r="V260" s="1">
        <v>2021</v>
      </c>
      <c r="W260" s="1">
        <v>11</v>
      </c>
      <c r="X260" s="1">
        <v>1</v>
      </c>
      <c r="Y260" s="1" t="s">
        <v>48</v>
      </c>
      <c r="Z260" s="1" t="s">
        <v>48</v>
      </c>
      <c r="AA260" s="1" t="s">
        <v>48</v>
      </c>
      <c r="AB260" s="1" t="s">
        <v>48</v>
      </c>
      <c r="AC260" s="1" t="s">
        <v>48</v>
      </c>
      <c r="AD260" s="1" t="s">
        <v>48</v>
      </c>
      <c r="AE260" s="1">
        <v>7473</v>
      </c>
      <c r="AF260" s="1" t="s">
        <v>9989</v>
      </c>
      <c r="AG260" s="1" t="str">
        <f>HYPERLINK("http://dx.doi.org/10.1038/s41598-021-86845-4","http://dx.doi.org/10.1038/s41598-021-86845-4")</f>
        <v>http://dx.doi.org/10.1038/s41598-021-86845-4</v>
      </c>
      <c r="AH260" s="1" t="s">
        <v>48</v>
      </c>
      <c r="AI260" s="1" t="s">
        <v>48</v>
      </c>
      <c r="AJ260" s="1">
        <v>10</v>
      </c>
      <c r="AK260" s="1" t="s">
        <v>335</v>
      </c>
      <c r="AL260" s="1" t="s">
        <v>944</v>
      </c>
      <c r="AM260" s="1" t="s">
        <v>336</v>
      </c>
      <c r="AN260" s="1">
        <v>33811238</v>
      </c>
      <c r="AO260" s="1" t="s">
        <v>366</v>
      </c>
      <c r="AP260" s="1" t="s">
        <v>48</v>
      </c>
      <c r="AQ260" s="1" t="s">
        <v>48</v>
      </c>
      <c r="AR260" s="1" t="s">
        <v>10610</v>
      </c>
    </row>
    <row r="261" spans="1:44" x14ac:dyDescent="0.45">
      <c r="A261" s="1" t="s">
        <v>6012</v>
      </c>
      <c r="B261" s="1" t="s">
        <v>9990</v>
      </c>
      <c r="C261" s="1" t="s">
        <v>3682</v>
      </c>
      <c r="D261" s="1" t="s">
        <v>52</v>
      </c>
      <c r="E261" s="1" t="s">
        <v>53</v>
      </c>
      <c r="F261" s="1" t="s">
        <v>9991</v>
      </c>
      <c r="G261" s="1" t="s">
        <v>5992</v>
      </c>
      <c r="H261" s="1" t="s">
        <v>9992</v>
      </c>
      <c r="I261" s="1">
        <v>69</v>
      </c>
      <c r="J261" s="1">
        <v>2</v>
      </c>
      <c r="K261" s="1">
        <v>0</v>
      </c>
      <c r="L261" s="1">
        <v>4</v>
      </c>
      <c r="M261" s="1" t="s">
        <v>3685</v>
      </c>
      <c r="N261" s="1" t="s">
        <v>3686</v>
      </c>
      <c r="O261" s="1" t="s">
        <v>3687</v>
      </c>
      <c r="P261" s="1" t="s">
        <v>48</v>
      </c>
      <c r="Q261" s="1" t="s">
        <v>3688</v>
      </c>
      <c r="R261" s="1" t="s">
        <v>48</v>
      </c>
      <c r="S261" s="1" t="s">
        <v>3689</v>
      </c>
      <c r="T261" s="1" t="s">
        <v>3690</v>
      </c>
      <c r="U261" s="1" t="s">
        <v>273</v>
      </c>
      <c r="V261" s="1">
        <v>2021</v>
      </c>
      <c r="W261" s="1">
        <v>14</v>
      </c>
      <c r="X261" s="1">
        <v>1</v>
      </c>
      <c r="Y261" s="1" t="s">
        <v>48</v>
      </c>
      <c r="Z261" s="1" t="s">
        <v>48</v>
      </c>
      <c r="AA261" s="1" t="s">
        <v>48</v>
      </c>
      <c r="AB261" s="1" t="s">
        <v>48</v>
      </c>
      <c r="AC261" s="1">
        <v>53</v>
      </c>
      <c r="AD261" s="1">
        <v>59</v>
      </c>
      <c r="AE261" s="1" t="s">
        <v>48</v>
      </c>
      <c r="AF261" s="1" t="s">
        <v>9993</v>
      </c>
      <c r="AG261" s="1" t="str">
        <f>HYPERLINK("http://dx.doi.org/10.1016/j.japb.2020.10.004","http://dx.doi.org/10.1016/j.japb.2020.10.004")</f>
        <v>http://dx.doi.org/10.1016/j.japb.2020.10.004</v>
      </c>
      <c r="AH261" s="1" t="s">
        <v>48</v>
      </c>
      <c r="AI261" s="1" t="s">
        <v>48</v>
      </c>
      <c r="AJ261" s="1">
        <v>7</v>
      </c>
      <c r="AK261" s="1" t="s">
        <v>3692</v>
      </c>
      <c r="AL261" s="1" t="s">
        <v>124</v>
      </c>
      <c r="AM261" s="1" t="s">
        <v>3693</v>
      </c>
      <c r="AN261" s="1" t="s">
        <v>48</v>
      </c>
      <c r="AO261" s="1" t="s">
        <v>125</v>
      </c>
      <c r="AP261" s="1" t="s">
        <v>48</v>
      </c>
      <c r="AQ261" s="1" t="s">
        <v>48</v>
      </c>
      <c r="AR261" s="1" t="s">
        <v>10610</v>
      </c>
    </row>
    <row r="262" spans="1:44" x14ac:dyDescent="0.45">
      <c r="A262" s="1" t="s">
        <v>9999</v>
      </c>
      <c r="B262" s="1" t="s">
        <v>10000</v>
      </c>
      <c r="C262" s="1" t="s">
        <v>429</v>
      </c>
      <c r="D262" s="1" t="s">
        <v>52</v>
      </c>
      <c r="E262" s="1" t="s">
        <v>53</v>
      </c>
      <c r="F262" s="1" t="s">
        <v>10001</v>
      </c>
      <c r="G262" s="1" t="s">
        <v>10002</v>
      </c>
      <c r="H262" s="1" t="s">
        <v>10003</v>
      </c>
      <c r="I262" s="1">
        <v>46</v>
      </c>
      <c r="J262" s="1">
        <v>12</v>
      </c>
      <c r="K262" s="1">
        <v>0</v>
      </c>
      <c r="L262" s="1">
        <v>5</v>
      </c>
      <c r="M262" s="1" t="s">
        <v>252</v>
      </c>
      <c r="N262" s="1" t="s">
        <v>253</v>
      </c>
      <c r="O262" s="1" t="s">
        <v>254</v>
      </c>
      <c r="P262" s="1" t="s">
        <v>432</v>
      </c>
      <c r="Q262" s="1" t="s">
        <v>433</v>
      </c>
      <c r="R262" s="1" t="s">
        <v>48</v>
      </c>
      <c r="S262" s="1" t="s">
        <v>434</v>
      </c>
      <c r="T262" s="1" t="s">
        <v>435</v>
      </c>
      <c r="U262" s="1" t="s">
        <v>320</v>
      </c>
      <c r="V262" s="1">
        <v>2022</v>
      </c>
      <c r="W262" s="1">
        <v>8</v>
      </c>
      <c r="X262" s="1">
        <v>1</v>
      </c>
      <c r="Y262" s="1" t="s">
        <v>48</v>
      </c>
      <c r="Z262" s="1" t="s">
        <v>48</v>
      </c>
      <c r="AA262" s="1" t="s">
        <v>48</v>
      </c>
      <c r="AB262" s="1" t="s">
        <v>48</v>
      </c>
      <c r="AC262" s="1">
        <v>749</v>
      </c>
      <c r="AD262" s="1">
        <v>760</v>
      </c>
      <c r="AE262" s="1" t="s">
        <v>48</v>
      </c>
      <c r="AF262" s="1" t="s">
        <v>10004</v>
      </c>
      <c r="AG262" s="1" t="str">
        <f>HYPERLINK("http://dx.doi.org/10.1007/s40808-021-01115-6","http://dx.doi.org/10.1007/s40808-021-01115-6")</f>
        <v>http://dx.doi.org/10.1007/s40808-021-01115-6</v>
      </c>
      <c r="AH262" s="1" t="s">
        <v>48</v>
      </c>
      <c r="AI262" s="1" t="s">
        <v>10617</v>
      </c>
      <c r="AJ262" s="1">
        <v>12</v>
      </c>
      <c r="AK262" s="1" t="s">
        <v>438</v>
      </c>
      <c r="AL262" s="1" t="s">
        <v>124</v>
      </c>
      <c r="AM262" s="1" t="s">
        <v>439</v>
      </c>
      <c r="AN262" s="1" t="s">
        <v>48</v>
      </c>
      <c r="AO262" s="1" t="s">
        <v>48</v>
      </c>
      <c r="AP262" s="1" t="s">
        <v>48</v>
      </c>
      <c r="AQ262" s="1" t="s">
        <v>48</v>
      </c>
      <c r="AR262" s="1" t="s">
        <v>10610</v>
      </c>
    </row>
    <row r="263" spans="1:44" x14ac:dyDescent="0.45">
      <c r="A263" s="1" t="s">
        <v>9994</v>
      </c>
      <c r="B263" s="1" t="s">
        <v>9995</v>
      </c>
      <c r="C263" s="1" t="s">
        <v>2194</v>
      </c>
      <c r="D263" s="1" t="s">
        <v>52</v>
      </c>
      <c r="E263" s="1" t="s">
        <v>53</v>
      </c>
      <c r="F263" s="1" t="s">
        <v>9996</v>
      </c>
      <c r="G263" s="1" t="s">
        <v>5880</v>
      </c>
      <c r="H263" s="1" t="s">
        <v>9997</v>
      </c>
      <c r="I263" s="1">
        <v>67</v>
      </c>
      <c r="J263" s="1">
        <v>12</v>
      </c>
      <c r="K263" s="1">
        <v>0</v>
      </c>
      <c r="L263" s="1">
        <v>14</v>
      </c>
      <c r="M263" s="1" t="s">
        <v>503</v>
      </c>
      <c r="N263" s="1" t="s">
        <v>542</v>
      </c>
      <c r="O263" s="1" t="s">
        <v>543</v>
      </c>
      <c r="P263" s="1" t="s">
        <v>2195</v>
      </c>
      <c r="Q263" s="1" t="s">
        <v>2196</v>
      </c>
      <c r="R263" s="1" t="s">
        <v>48</v>
      </c>
      <c r="S263" s="1" t="s">
        <v>2194</v>
      </c>
      <c r="T263" s="1" t="s">
        <v>2197</v>
      </c>
      <c r="U263" s="1" t="s">
        <v>86</v>
      </c>
      <c r="V263" s="1">
        <v>2022</v>
      </c>
      <c r="W263" s="1">
        <v>87</v>
      </c>
      <c r="X263" s="1">
        <v>6</v>
      </c>
      <c r="Y263" s="1" t="s">
        <v>48</v>
      </c>
      <c r="Z263" s="1" t="s">
        <v>48</v>
      </c>
      <c r="AA263" s="1" t="s">
        <v>48</v>
      </c>
      <c r="AB263" s="1" t="s">
        <v>48</v>
      </c>
      <c r="AC263" s="1">
        <v>4807</v>
      </c>
      <c r="AD263" s="1">
        <v>4836</v>
      </c>
      <c r="AE263" s="1" t="s">
        <v>48</v>
      </c>
      <c r="AF263" s="1" t="s">
        <v>9998</v>
      </c>
      <c r="AG263" s="1" t="str">
        <f>HYPERLINK("http://dx.doi.org/10.1007/s10708-021-10528-w","http://dx.doi.org/10.1007/s10708-021-10528-w")</f>
        <v>http://dx.doi.org/10.1007/s10708-021-10528-w</v>
      </c>
      <c r="AH263" s="1" t="s">
        <v>48</v>
      </c>
      <c r="AI263" s="1" t="s">
        <v>10615</v>
      </c>
      <c r="AJ263" s="1">
        <v>30</v>
      </c>
      <c r="AK263" s="1" t="s">
        <v>493</v>
      </c>
      <c r="AL263" s="1" t="s">
        <v>124</v>
      </c>
      <c r="AM263" s="1" t="s">
        <v>493</v>
      </c>
      <c r="AN263" s="1">
        <v>34720353</v>
      </c>
      <c r="AO263" s="1" t="s">
        <v>1003</v>
      </c>
      <c r="AP263" s="1" t="s">
        <v>48</v>
      </c>
      <c r="AQ263" s="1" t="s">
        <v>48</v>
      </c>
      <c r="AR263" s="1" t="s">
        <v>10610</v>
      </c>
    </row>
    <row r="264" spans="1:44" x14ac:dyDescent="0.45">
      <c r="A264" s="1" t="s">
        <v>10005</v>
      </c>
      <c r="B264" s="1" t="s">
        <v>10006</v>
      </c>
      <c r="C264" s="1" t="s">
        <v>10007</v>
      </c>
      <c r="D264" s="1" t="s">
        <v>52</v>
      </c>
      <c r="E264" s="1" t="s">
        <v>53</v>
      </c>
      <c r="F264" s="1" t="s">
        <v>10008</v>
      </c>
      <c r="G264" s="1" t="s">
        <v>10009</v>
      </c>
      <c r="H264" s="1" t="s">
        <v>10010</v>
      </c>
      <c r="I264" s="1">
        <v>65</v>
      </c>
      <c r="J264" s="1">
        <v>13</v>
      </c>
      <c r="K264" s="1">
        <v>0</v>
      </c>
      <c r="L264" s="1">
        <v>8</v>
      </c>
      <c r="M264" s="1" t="s">
        <v>198</v>
      </c>
      <c r="N264" s="1" t="s">
        <v>146</v>
      </c>
      <c r="O264" s="1" t="s">
        <v>199</v>
      </c>
      <c r="P264" s="1" t="s">
        <v>10011</v>
      </c>
      <c r="Q264" s="1" t="s">
        <v>48</v>
      </c>
      <c r="R264" s="1" t="s">
        <v>48</v>
      </c>
      <c r="S264" s="1" t="s">
        <v>10012</v>
      </c>
      <c r="T264" s="1" t="s">
        <v>10013</v>
      </c>
      <c r="U264" s="1" t="s">
        <v>1301</v>
      </c>
      <c r="V264" s="1">
        <v>2021</v>
      </c>
      <c r="W264" s="1">
        <v>15</v>
      </c>
      <c r="X264" s="1">
        <v>1</v>
      </c>
      <c r="Y264" s="1" t="s">
        <v>48</v>
      </c>
      <c r="Z264" s="1" t="s">
        <v>48</v>
      </c>
      <c r="AA264" s="1" t="s">
        <v>48</v>
      </c>
      <c r="AB264" s="1" t="s">
        <v>48</v>
      </c>
      <c r="AC264" s="1">
        <v>347</v>
      </c>
      <c r="AD264" s="1">
        <v>356</v>
      </c>
      <c r="AE264" s="1" t="s">
        <v>48</v>
      </c>
      <c r="AF264" s="1" t="s">
        <v>10014</v>
      </c>
      <c r="AG264" s="1" t="str">
        <f>HYPERLINK("http://dx.doi.org/10.1080/16583655.2021.1978833","http://dx.doi.org/10.1080/16583655.2021.1978833")</f>
        <v>http://dx.doi.org/10.1080/16583655.2021.1978833</v>
      </c>
      <c r="AH264" s="1" t="s">
        <v>48</v>
      </c>
      <c r="AI264" s="1" t="s">
        <v>48</v>
      </c>
      <c r="AJ264" s="1">
        <v>10</v>
      </c>
      <c r="AK264" s="1" t="s">
        <v>335</v>
      </c>
      <c r="AL264" s="1" t="s">
        <v>67</v>
      </c>
      <c r="AM264" s="1" t="s">
        <v>336</v>
      </c>
      <c r="AN264" s="1" t="s">
        <v>48</v>
      </c>
      <c r="AO264" s="1" t="s">
        <v>125</v>
      </c>
      <c r="AP264" s="1" t="s">
        <v>48</v>
      </c>
      <c r="AQ264" s="1" t="s">
        <v>48</v>
      </c>
      <c r="AR264" s="1" t="s">
        <v>10610</v>
      </c>
    </row>
    <row r="265" spans="1:44" x14ac:dyDescent="0.45">
      <c r="A265" s="1" t="s">
        <v>4994</v>
      </c>
      <c r="B265" s="1" t="s">
        <v>10015</v>
      </c>
      <c r="C265" s="1" t="s">
        <v>10016</v>
      </c>
      <c r="D265" s="1" t="s">
        <v>52</v>
      </c>
      <c r="E265" s="1" t="s">
        <v>53</v>
      </c>
      <c r="F265" s="1" t="s">
        <v>10017</v>
      </c>
      <c r="G265" s="1" t="s">
        <v>4998</v>
      </c>
      <c r="H265" s="1" t="s">
        <v>9906</v>
      </c>
      <c r="I265" s="1">
        <v>60</v>
      </c>
      <c r="J265" s="1">
        <v>6</v>
      </c>
      <c r="K265" s="1">
        <v>0</v>
      </c>
      <c r="L265" s="1">
        <v>4</v>
      </c>
      <c r="M265" s="1" t="s">
        <v>132</v>
      </c>
      <c r="N265" s="1" t="s">
        <v>133</v>
      </c>
      <c r="O265" s="1" t="s">
        <v>134</v>
      </c>
      <c r="P265" s="1" t="s">
        <v>48</v>
      </c>
      <c r="Q265" s="1" t="s">
        <v>10018</v>
      </c>
      <c r="R265" s="1" t="s">
        <v>48</v>
      </c>
      <c r="S265" s="1" t="s">
        <v>10019</v>
      </c>
      <c r="T265" s="1" t="s">
        <v>10020</v>
      </c>
      <c r="U265" s="1" t="s">
        <v>243</v>
      </c>
      <c r="V265" s="1">
        <v>2021</v>
      </c>
      <c r="W265" s="1">
        <v>6</v>
      </c>
      <c r="X265" s="1">
        <v>6</v>
      </c>
      <c r="Y265" s="1" t="s">
        <v>48</v>
      </c>
      <c r="Z265" s="1" t="s">
        <v>48</v>
      </c>
      <c r="AA265" s="1" t="s">
        <v>48</v>
      </c>
      <c r="AB265" s="1" t="s">
        <v>48</v>
      </c>
      <c r="AC265" s="1" t="s">
        <v>48</v>
      </c>
      <c r="AD265" s="1" t="s">
        <v>48</v>
      </c>
      <c r="AE265" s="1">
        <v>65</v>
      </c>
      <c r="AF265" s="1" t="s">
        <v>10021</v>
      </c>
      <c r="AG265" s="1" t="str">
        <f>HYPERLINK("http://dx.doi.org/10.3390/data6060065","http://dx.doi.org/10.3390/data6060065")</f>
        <v>http://dx.doi.org/10.3390/data6060065</v>
      </c>
      <c r="AH265" s="1" t="s">
        <v>48</v>
      </c>
      <c r="AI265" s="1" t="s">
        <v>48</v>
      </c>
      <c r="AJ265" s="1">
        <v>16</v>
      </c>
      <c r="AK265" s="1" t="s">
        <v>10022</v>
      </c>
      <c r="AL265" s="1" t="s">
        <v>124</v>
      </c>
      <c r="AM265" s="1" t="s">
        <v>10023</v>
      </c>
      <c r="AN265" s="1" t="s">
        <v>48</v>
      </c>
      <c r="AO265" s="1" t="s">
        <v>337</v>
      </c>
      <c r="AP265" s="1" t="s">
        <v>48</v>
      </c>
      <c r="AQ265" s="1" t="s">
        <v>48</v>
      </c>
      <c r="AR265" s="1" t="s">
        <v>10610</v>
      </c>
    </row>
    <row r="266" spans="1:44" x14ac:dyDescent="0.45">
      <c r="A266" s="1" t="s">
        <v>10030</v>
      </c>
      <c r="B266" s="1" t="s">
        <v>10031</v>
      </c>
      <c r="C266" s="1" t="s">
        <v>1812</v>
      </c>
      <c r="D266" s="1" t="s">
        <v>52</v>
      </c>
      <c r="E266" s="1" t="s">
        <v>53</v>
      </c>
      <c r="F266" s="1" t="s">
        <v>10032</v>
      </c>
      <c r="G266" s="1" t="s">
        <v>5464</v>
      </c>
      <c r="H266" s="1" t="s">
        <v>10033</v>
      </c>
      <c r="I266" s="1">
        <v>57</v>
      </c>
      <c r="J266" s="1">
        <v>5</v>
      </c>
      <c r="K266" s="1">
        <v>0</v>
      </c>
      <c r="L266" s="1">
        <v>7</v>
      </c>
      <c r="M266" s="1" t="s">
        <v>503</v>
      </c>
      <c r="N266" s="1" t="s">
        <v>504</v>
      </c>
      <c r="O266" s="1" t="s">
        <v>505</v>
      </c>
      <c r="P266" s="1" t="s">
        <v>1814</v>
      </c>
      <c r="Q266" s="1" t="s">
        <v>1815</v>
      </c>
      <c r="R266" s="1" t="s">
        <v>48</v>
      </c>
      <c r="S266" s="1" t="s">
        <v>1816</v>
      </c>
      <c r="T266" s="1" t="s">
        <v>1817</v>
      </c>
      <c r="U266" s="1" t="s">
        <v>436</v>
      </c>
      <c r="V266" s="1">
        <v>2021</v>
      </c>
      <c r="W266" s="1">
        <v>25</v>
      </c>
      <c r="X266" s="1">
        <v>17</v>
      </c>
      <c r="Y266" s="1" t="s">
        <v>48</v>
      </c>
      <c r="Z266" s="1" t="s">
        <v>48</v>
      </c>
      <c r="AA266" s="1" t="s">
        <v>48</v>
      </c>
      <c r="AB266" s="1" t="s">
        <v>48</v>
      </c>
      <c r="AC266" s="1">
        <v>11621</v>
      </c>
      <c r="AD266" s="1">
        <v>11636</v>
      </c>
      <c r="AE266" s="1" t="s">
        <v>48</v>
      </c>
      <c r="AF266" s="1" t="s">
        <v>10034</v>
      </c>
      <c r="AG266" s="1" t="str">
        <f>HYPERLINK("http://dx.doi.org/10.1007/s00500-021-06004-9","http://dx.doi.org/10.1007/s00500-021-06004-9")</f>
        <v>http://dx.doi.org/10.1007/s00500-021-06004-9</v>
      </c>
      <c r="AH266" s="1" t="s">
        <v>48</v>
      </c>
      <c r="AI266" s="1" t="s">
        <v>10623</v>
      </c>
      <c r="AJ266" s="1">
        <v>16</v>
      </c>
      <c r="AK266" s="1" t="s">
        <v>1746</v>
      </c>
      <c r="AL266" s="1" t="s">
        <v>67</v>
      </c>
      <c r="AM266" s="1" t="s">
        <v>292</v>
      </c>
      <c r="AN266" s="1" t="s">
        <v>48</v>
      </c>
      <c r="AO266" s="1" t="s">
        <v>48</v>
      </c>
      <c r="AP266" s="1" t="s">
        <v>48</v>
      </c>
      <c r="AQ266" s="1" t="s">
        <v>48</v>
      </c>
      <c r="AR266" s="1" t="s">
        <v>10610</v>
      </c>
    </row>
    <row r="267" spans="1:44" x14ac:dyDescent="0.45">
      <c r="A267" s="1" t="s">
        <v>10024</v>
      </c>
      <c r="B267" s="1" t="s">
        <v>10025</v>
      </c>
      <c r="C267" s="1" t="s">
        <v>1891</v>
      </c>
      <c r="D267" s="1" t="s">
        <v>52</v>
      </c>
      <c r="E267" s="1" t="s">
        <v>53</v>
      </c>
      <c r="F267" s="1" t="s">
        <v>10026</v>
      </c>
      <c r="G267" s="1" t="s">
        <v>10027</v>
      </c>
      <c r="H267" s="1" t="s">
        <v>10028</v>
      </c>
      <c r="I267" s="1">
        <v>51</v>
      </c>
      <c r="J267" s="1">
        <v>4</v>
      </c>
      <c r="K267" s="1">
        <v>0</v>
      </c>
      <c r="L267" s="1">
        <v>2</v>
      </c>
      <c r="M267" s="1" t="s">
        <v>79</v>
      </c>
      <c r="N267" s="1" t="s">
        <v>80</v>
      </c>
      <c r="O267" s="1" t="s">
        <v>81</v>
      </c>
      <c r="P267" s="1" t="s">
        <v>1892</v>
      </c>
      <c r="Q267" s="1" t="s">
        <v>48</v>
      </c>
      <c r="R267" s="1" t="s">
        <v>48</v>
      </c>
      <c r="S267" s="1" t="s">
        <v>1893</v>
      </c>
      <c r="T267" s="1" t="s">
        <v>1894</v>
      </c>
      <c r="U267" s="1" t="s">
        <v>598</v>
      </c>
      <c r="V267" s="1">
        <v>2021</v>
      </c>
      <c r="W267" s="1">
        <v>23</v>
      </c>
      <c r="X267" s="1" t="s">
        <v>48</v>
      </c>
      <c r="Y267" s="1" t="s">
        <v>48</v>
      </c>
      <c r="Z267" s="1" t="s">
        <v>48</v>
      </c>
      <c r="AA267" s="1" t="s">
        <v>48</v>
      </c>
      <c r="AB267" s="1" t="s">
        <v>48</v>
      </c>
      <c r="AC267" s="1" t="s">
        <v>48</v>
      </c>
      <c r="AD267" s="1" t="s">
        <v>48</v>
      </c>
      <c r="AE267" s="1">
        <v>100546</v>
      </c>
      <c r="AF267" s="1" t="s">
        <v>10029</v>
      </c>
      <c r="AG267" s="1" t="str">
        <f>HYPERLINK("http://dx.doi.org/10.1016/j.rsase.2021.100546","http://dx.doi.org/10.1016/j.rsase.2021.100546")</f>
        <v>http://dx.doi.org/10.1016/j.rsase.2021.100546</v>
      </c>
      <c r="AH267" s="1" t="s">
        <v>48</v>
      </c>
      <c r="AI267" s="1" t="s">
        <v>10611</v>
      </c>
      <c r="AJ267" s="1">
        <v>12</v>
      </c>
      <c r="AK267" s="1" t="s">
        <v>1896</v>
      </c>
      <c r="AL267" s="1" t="s">
        <v>124</v>
      </c>
      <c r="AM267" s="1" t="s">
        <v>1897</v>
      </c>
      <c r="AN267" s="1" t="s">
        <v>48</v>
      </c>
      <c r="AO267" s="1" t="s">
        <v>48</v>
      </c>
      <c r="AP267" s="1" t="s">
        <v>48</v>
      </c>
      <c r="AQ267" s="1" t="s">
        <v>48</v>
      </c>
      <c r="AR267" s="1" t="s">
        <v>10610</v>
      </c>
    </row>
    <row r="268" spans="1:44" x14ac:dyDescent="0.45">
      <c r="A268" s="1" t="s">
        <v>10035</v>
      </c>
      <c r="B268" s="1" t="s">
        <v>10036</v>
      </c>
      <c r="C268" s="1" t="s">
        <v>4719</v>
      </c>
      <c r="D268" s="1" t="s">
        <v>52</v>
      </c>
      <c r="E268" s="1" t="s">
        <v>53</v>
      </c>
      <c r="F268" s="1" t="s">
        <v>10037</v>
      </c>
      <c r="G268" s="1" t="s">
        <v>10038</v>
      </c>
      <c r="H268" s="1" t="s">
        <v>8587</v>
      </c>
      <c r="I268" s="1">
        <v>66</v>
      </c>
      <c r="J268" s="1">
        <v>44</v>
      </c>
      <c r="K268" s="1">
        <v>2</v>
      </c>
      <c r="L268" s="1">
        <v>61</v>
      </c>
      <c r="M268" s="1" t="s">
        <v>79</v>
      </c>
      <c r="N268" s="1" t="s">
        <v>80</v>
      </c>
      <c r="O268" s="1" t="s">
        <v>81</v>
      </c>
      <c r="P268" s="1" t="s">
        <v>4723</v>
      </c>
      <c r="Q268" s="1" t="s">
        <v>4724</v>
      </c>
      <c r="R268" s="1" t="s">
        <v>48</v>
      </c>
      <c r="S268" s="1" t="s">
        <v>4725</v>
      </c>
      <c r="T268" s="1" t="s">
        <v>4726</v>
      </c>
      <c r="U268" s="1" t="s">
        <v>7163</v>
      </c>
      <c r="V268" s="1">
        <v>2021</v>
      </c>
      <c r="W268" s="1">
        <v>796</v>
      </c>
      <c r="X268" s="1" t="s">
        <v>48</v>
      </c>
      <c r="Y268" s="1" t="s">
        <v>48</v>
      </c>
      <c r="Z268" s="1" t="s">
        <v>48</v>
      </c>
      <c r="AA268" s="1" t="s">
        <v>48</v>
      </c>
      <c r="AB268" s="1" t="s">
        <v>48</v>
      </c>
      <c r="AC268" s="1" t="s">
        <v>48</v>
      </c>
      <c r="AD268" s="1" t="s">
        <v>48</v>
      </c>
      <c r="AE268" s="1">
        <v>148951</v>
      </c>
      <c r="AF268" s="1" t="s">
        <v>10039</v>
      </c>
      <c r="AG268" s="1" t="str">
        <f>HYPERLINK("http://dx.doi.org/10.1016/j.scitotenv.2021.148951","http://dx.doi.org/10.1016/j.scitotenv.2021.148951")</f>
        <v>http://dx.doi.org/10.1016/j.scitotenv.2021.148951</v>
      </c>
      <c r="AH268" s="1" t="s">
        <v>48</v>
      </c>
      <c r="AI268" s="1" t="s">
        <v>10623</v>
      </c>
      <c r="AJ268" s="1">
        <v>13</v>
      </c>
      <c r="AK268" s="1" t="s">
        <v>438</v>
      </c>
      <c r="AL268" s="1" t="s">
        <v>67</v>
      </c>
      <c r="AM268" s="1" t="s">
        <v>439</v>
      </c>
      <c r="AN268" s="1">
        <v>34271381</v>
      </c>
      <c r="AO268" s="1" t="s">
        <v>1325</v>
      </c>
      <c r="AP268" s="1" t="s">
        <v>48</v>
      </c>
      <c r="AQ268" s="1" t="s">
        <v>48</v>
      </c>
      <c r="AR268" s="1" t="s">
        <v>10610</v>
      </c>
    </row>
    <row r="269" spans="1:44" x14ac:dyDescent="0.45">
      <c r="A269" s="1" t="s">
        <v>10046</v>
      </c>
      <c r="B269" s="1" t="s">
        <v>10047</v>
      </c>
      <c r="C269" s="1" t="s">
        <v>129</v>
      </c>
      <c r="D269" s="1" t="s">
        <v>52</v>
      </c>
      <c r="E269" s="1" t="s">
        <v>53</v>
      </c>
      <c r="F269" s="1" t="s">
        <v>10048</v>
      </c>
      <c r="G269" s="1" t="s">
        <v>10049</v>
      </c>
      <c r="H269" s="1" t="s">
        <v>10050</v>
      </c>
      <c r="I269" s="1">
        <v>94</v>
      </c>
      <c r="J269" s="1">
        <v>48</v>
      </c>
      <c r="K269" s="1">
        <v>6</v>
      </c>
      <c r="L269" s="1">
        <v>53</v>
      </c>
      <c r="M269" s="1" t="s">
        <v>132</v>
      </c>
      <c r="N269" s="1" t="s">
        <v>133</v>
      </c>
      <c r="O269" s="1" t="s">
        <v>134</v>
      </c>
      <c r="P269" s="1" t="s">
        <v>48</v>
      </c>
      <c r="Q269" s="1" t="s">
        <v>135</v>
      </c>
      <c r="R269" s="1" t="s">
        <v>48</v>
      </c>
      <c r="S269" s="1" t="s">
        <v>136</v>
      </c>
      <c r="T269" s="1" t="s">
        <v>137</v>
      </c>
      <c r="U269" s="1" t="s">
        <v>436</v>
      </c>
      <c r="V269" s="1">
        <v>2021</v>
      </c>
      <c r="W269" s="1">
        <v>9</v>
      </c>
      <c r="X269" s="1">
        <v>17</v>
      </c>
      <c r="Y269" s="1" t="s">
        <v>48</v>
      </c>
      <c r="Z269" s="1" t="s">
        <v>48</v>
      </c>
      <c r="AA269" s="1" t="s">
        <v>48</v>
      </c>
      <c r="AB269" s="1" t="s">
        <v>48</v>
      </c>
      <c r="AC269" s="1" t="s">
        <v>48</v>
      </c>
      <c r="AD269" s="1" t="s">
        <v>48</v>
      </c>
      <c r="AE269" s="1">
        <v>2093</v>
      </c>
      <c r="AF269" s="1" t="s">
        <v>10051</v>
      </c>
      <c r="AG269" s="1" t="str">
        <f>HYPERLINK("http://dx.doi.org/10.3390/math9172093","http://dx.doi.org/10.3390/math9172093")</f>
        <v>http://dx.doi.org/10.3390/math9172093</v>
      </c>
      <c r="AH269" s="1" t="s">
        <v>48</v>
      </c>
      <c r="AI269" s="1" t="s">
        <v>48</v>
      </c>
      <c r="AJ269" s="1">
        <v>27</v>
      </c>
      <c r="AK269" s="1" t="s">
        <v>137</v>
      </c>
      <c r="AL269" s="1" t="s">
        <v>944</v>
      </c>
      <c r="AM269" s="1" t="s">
        <v>137</v>
      </c>
      <c r="AN269" s="1" t="s">
        <v>48</v>
      </c>
      <c r="AO269" s="1" t="s">
        <v>125</v>
      </c>
      <c r="AP269" s="1" t="s">
        <v>48</v>
      </c>
      <c r="AQ269" s="1" t="s">
        <v>48</v>
      </c>
      <c r="AR269" s="1" t="s">
        <v>10610</v>
      </c>
    </row>
    <row r="270" spans="1:44" x14ac:dyDescent="0.45">
      <c r="A270" s="1" t="s">
        <v>10052</v>
      </c>
      <c r="B270" s="1" t="s">
        <v>10053</v>
      </c>
      <c r="C270" s="1" t="s">
        <v>6307</v>
      </c>
      <c r="D270" s="1" t="s">
        <v>52</v>
      </c>
      <c r="E270" s="1" t="s">
        <v>53</v>
      </c>
      <c r="F270" s="1" t="s">
        <v>10054</v>
      </c>
      <c r="G270" s="1" t="s">
        <v>10055</v>
      </c>
      <c r="H270" s="1" t="s">
        <v>10056</v>
      </c>
      <c r="I270" s="1">
        <v>73</v>
      </c>
      <c r="J270" s="1">
        <v>23</v>
      </c>
      <c r="K270" s="1">
        <v>2</v>
      </c>
      <c r="L270" s="1">
        <v>20</v>
      </c>
      <c r="M270" s="1" t="s">
        <v>6311</v>
      </c>
      <c r="N270" s="1" t="s">
        <v>361</v>
      </c>
      <c r="O270" s="1" t="s">
        <v>6312</v>
      </c>
      <c r="P270" s="1" t="s">
        <v>6313</v>
      </c>
      <c r="Q270" s="1" t="s">
        <v>6314</v>
      </c>
      <c r="R270" s="1" t="s">
        <v>48</v>
      </c>
      <c r="S270" s="1" t="s">
        <v>6307</v>
      </c>
      <c r="T270" s="1" t="s">
        <v>6315</v>
      </c>
      <c r="U270" s="1" t="s">
        <v>386</v>
      </c>
      <c r="V270" s="1">
        <v>2021</v>
      </c>
      <c r="W270" s="1">
        <v>148</v>
      </c>
      <c r="X270" s="1">
        <v>1</v>
      </c>
      <c r="Y270" s="1" t="s">
        <v>48</v>
      </c>
      <c r="Z270" s="1" t="s">
        <v>48</v>
      </c>
      <c r="AA270" s="1" t="s">
        <v>48</v>
      </c>
      <c r="AB270" s="1" t="s">
        <v>48</v>
      </c>
      <c r="AC270" s="1" t="s">
        <v>48</v>
      </c>
      <c r="AD270" s="1" t="s">
        <v>48</v>
      </c>
      <c r="AE270" s="1" t="s">
        <v>10057</v>
      </c>
      <c r="AF270" s="1" t="s">
        <v>10058</v>
      </c>
      <c r="AG270" s="1" t="str">
        <f>HYPERLINK("http://dx.doi.org/10.1242/dev.190033","http://dx.doi.org/10.1242/dev.190033")</f>
        <v>http://dx.doi.org/10.1242/dev.190033</v>
      </c>
      <c r="AH270" s="1" t="s">
        <v>48</v>
      </c>
      <c r="AI270" s="1" t="s">
        <v>48</v>
      </c>
      <c r="AJ270" s="1">
        <v>11</v>
      </c>
      <c r="AK270" s="1" t="s">
        <v>6317</v>
      </c>
      <c r="AL270" s="1" t="s">
        <v>67</v>
      </c>
      <c r="AM270" s="1" t="s">
        <v>6317</v>
      </c>
      <c r="AN270" s="1">
        <v>33168582</v>
      </c>
      <c r="AO270" s="1" t="s">
        <v>550</v>
      </c>
      <c r="AP270" s="1" t="s">
        <v>48</v>
      </c>
      <c r="AQ270" s="1" t="s">
        <v>48</v>
      </c>
      <c r="AR270" s="1" t="s">
        <v>10610</v>
      </c>
    </row>
    <row r="271" spans="1:44" x14ac:dyDescent="0.45">
      <c r="A271" s="1" t="s">
        <v>10059</v>
      </c>
      <c r="B271" s="1" t="s">
        <v>10060</v>
      </c>
      <c r="C271" s="1" t="s">
        <v>10061</v>
      </c>
      <c r="D271" s="1" t="s">
        <v>52</v>
      </c>
      <c r="E271" s="1" t="s">
        <v>53</v>
      </c>
      <c r="F271" s="1" t="s">
        <v>10062</v>
      </c>
      <c r="G271" s="1" t="s">
        <v>10063</v>
      </c>
      <c r="H271" s="1" t="s">
        <v>10064</v>
      </c>
      <c r="I271" s="1">
        <v>53</v>
      </c>
      <c r="J271" s="1">
        <v>17</v>
      </c>
      <c r="K271" s="1">
        <v>0</v>
      </c>
      <c r="L271" s="1">
        <v>7</v>
      </c>
      <c r="M271" s="1" t="s">
        <v>10065</v>
      </c>
      <c r="N271" s="1" t="s">
        <v>632</v>
      </c>
      <c r="O271" s="1" t="s">
        <v>10066</v>
      </c>
      <c r="P271" s="1" t="s">
        <v>10067</v>
      </c>
      <c r="Q271" s="1" t="s">
        <v>10068</v>
      </c>
      <c r="R271" s="1" t="s">
        <v>48</v>
      </c>
      <c r="S271" s="1" t="s">
        <v>10069</v>
      </c>
      <c r="T271" s="1" t="s">
        <v>10070</v>
      </c>
      <c r="U271" s="1" t="s">
        <v>10647</v>
      </c>
      <c r="V271" s="1">
        <v>2021</v>
      </c>
      <c r="W271" s="1">
        <v>41</v>
      </c>
      <c r="X271" s="1">
        <v>2</v>
      </c>
      <c r="Y271" s="1" t="s">
        <v>48</v>
      </c>
      <c r="Z271" s="1" t="s">
        <v>48</v>
      </c>
      <c r="AA271" s="1" t="s">
        <v>48</v>
      </c>
      <c r="AB271" s="1" t="s">
        <v>48</v>
      </c>
      <c r="AC271" s="1" t="s">
        <v>48</v>
      </c>
      <c r="AD271" s="1" t="s">
        <v>48</v>
      </c>
      <c r="AE271" s="1" t="s">
        <v>10071</v>
      </c>
      <c r="AF271" s="1" t="s">
        <v>10072</v>
      </c>
      <c r="AG271" s="1" t="str">
        <f>HYPERLINK("http://dx.doi.org/10.1042/BSR20202014","http://dx.doi.org/10.1042/BSR20202014")</f>
        <v>http://dx.doi.org/10.1042/BSR20202014</v>
      </c>
      <c r="AH271" s="1" t="s">
        <v>48</v>
      </c>
      <c r="AI271" s="1" t="s">
        <v>48</v>
      </c>
      <c r="AJ271" s="1">
        <v>6</v>
      </c>
      <c r="AK271" s="1" t="s">
        <v>7628</v>
      </c>
      <c r="AL271" s="1" t="s">
        <v>67</v>
      </c>
      <c r="AM271" s="1" t="s">
        <v>7628</v>
      </c>
      <c r="AN271" s="1">
        <v>33442728</v>
      </c>
      <c r="AO271" s="1" t="s">
        <v>366</v>
      </c>
      <c r="AP271" s="1" t="s">
        <v>48</v>
      </c>
      <c r="AQ271" s="1" t="s">
        <v>48</v>
      </c>
      <c r="AR271" s="1" t="s">
        <v>10610</v>
      </c>
    </row>
    <row r="272" spans="1:44" x14ac:dyDescent="0.45">
      <c r="A272" s="1" t="s">
        <v>10073</v>
      </c>
      <c r="B272" s="1" t="s">
        <v>10074</v>
      </c>
      <c r="C272" s="1" t="s">
        <v>1931</v>
      </c>
      <c r="D272" s="1" t="s">
        <v>52</v>
      </c>
      <c r="E272" s="1" t="s">
        <v>53</v>
      </c>
      <c r="F272" s="1" t="s">
        <v>10075</v>
      </c>
      <c r="G272" s="1" t="s">
        <v>10076</v>
      </c>
      <c r="H272" s="1" t="s">
        <v>227</v>
      </c>
      <c r="I272" s="1">
        <v>30</v>
      </c>
      <c r="J272" s="1">
        <v>69</v>
      </c>
      <c r="K272" s="1">
        <v>0</v>
      </c>
      <c r="L272" s="1">
        <v>2</v>
      </c>
      <c r="M272" s="1" t="s">
        <v>252</v>
      </c>
      <c r="N272" s="1" t="s">
        <v>253</v>
      </c>
      <c r="O272" s="1" t="s">
        <v>254</v>
      </c>
      <c r="P272" s="1" t="s">
        <v>1932</v>
      </c>
      <c r="Q272" s="1" t="s">
        <v>1933</v>
      </c>
      <c r="R272" s="1" t="s">
        <v>48</v>
      </c>
      <c r="S272" s="1" t="s">
        <v>1934</v>
      </c>
      <c r="T272" s="1" t="s">
        <v>1935</v>
      </c>
      <c r="U272" s="1" t="s">
        <v>911</v>
      </c>
      <c r="V272" s="1">
        <v>2021</v>
      </c>
      <c r="W272" s="1">
        <v>7</v>
      </c>
      <c r="X272" s="1">
        <v>2</v>
      </c>
      <c r="Y272" s="1" t="s">
        <v>48</v>
      </c>
      <c r="Z272" s="1" t="s">
        <v>48</v>
      </c>
      <c r="AA272" s="1" t="s">
        <v>48</v>
      </c>
      <c r="AB272" s="1" t="s">
        <v>48</v>
      </c>
      <c r="AC272" s="1">
        <v>1009</v>
      </c>
      <c r="AD272" s="1">
        <v>1023</v>
      </c>
      <c r="AE272" s="1" t="s">
        <v>48</v>
      </c>
      <c r="AF272" s="1" t="s">
        <v>10077</v>
      </c>
      <c r="AG272" s="1" t="str">
        <f>HYPERLINK("http://dx.doi.org/10.1007/s40747-020-00251-3","http://dx.doi.org/10.1007/s40747-020-00251-3")</f>
        <v>http://dx.doi.org/10.1007/s40747-020-00251-3</v>
      </c>
      <c r="AH272" s="1" t="s">
        <v>48</v>
      </c>
      <c r="AI272" s="1" t="s">
        <v>10619</v>
      </c>
      <c r="AJ272" s="1">
        <v>15</v>
      </c>
      <c r="AK272" s="1" t="s">
        <v>549</v>
      </c>
      <c r="AL272" s="1" t="s">
        <v>67</v>
      </c>
      <c r="AM272" s="1" t="s">
        <v>292</v>
      </c>
      <c r="AN272" s="1" t="s">
        <v>48</v>
      </c>
      <c r="AO272" s="1" t="s">
        <v>125</v>
      </c>
      <c r="AP272" s="1" t="s">
        <v>48</v>
      </c>
      <c r="AQ272" s="1" t="s">
        <v>48</v>
      </c>
      <c r="AR272" s="1" t="s">
        <v>10610</v>
      </c>
    </row>
    <row r="273" spans="1:44" x14ac:dyDescent="0.45">
      <c r="A273" s="1" t="s">
        <v>10040</v>
      </c>
      <c r="B273" s="1" t="s">
        <v>10041</v>
      </c>
      <c r="C273" s="1" t="s">
        <v>4422</v>
      </c>
      <c r="D273" s="1" t="s">
        <v>52</v>
      </c>
      <c r="E273" s="1" t="s">
        <v>53</v>
      </c>
      <c r="F273" s="1" t="s">
        <v>10042</v>
      </c>
      <c r="G273" s="1" t="s">
        <v>10043</v>
      </c>
      <c r="H273" s="1" t="s">
        <v>10044</v>
      </c>
      <c r="I273" s="1">
        <v>62</v>
      </c>
      <c r="J273" s="1">
        <v>4</v>
      </c>
      <c r="K273" s="1">
        <v>1</v>
      </c>
      <c r="L273" s="1">
        <v>20</v>
      </c>
      <c r="M273" s="1" t="s">
        <v>198</v>
      </c>
      <c r="N273" s="1" t="s">
        <v>146</v>
      </c>
      <c r="O273" s="1" t="s">
        <v>199</v>
      </c>
      <c r="P273" s="1" t="s">
        <v>4428</v>
      </c>
      <c r="Q273" s="1" t="s">
        <v>4429</v>
      </c>
      <c r="R273" s="1" t="s">
        <v>48</v>
      </c>
      <c r="S273" s="1" t="s">
        <v>4430</v>
      </c>
      <c r="T273" s="1" t="s">
        <v>4431</v>
      </c>
      <c r="U273" s="1" t="s">
        <v>10648</v>
      </c>
      <c r="V273" s="1">
        <v>2021</v>
      </c>
      <c r="W273" s="1">
        <v>74</v>
      </c>
      <c r="X273" s="1" t="s">
        <v>10649</v>
      </c>
      <c r="Y273" s="1" t="s">
        <v>48</v>
      </c>
      <c r="Z273" s="1" t="s">
        <v>48</v>
      </c>
      <c r="AA273" s="1" t="s">
        <v>48</v>
      </c>
      <c r="AB273" s="1" t="s">
        <v>48</v>
      </c>
      <c r="AC273" s="1">
        <v>1382</v>
      </c>
      <c r="AD273" s="1">
        <v>1398</v>
      </c>
      <c r="AE273" s="1" t="s">
        <v>48</v>
      </c>
      <c r="AF273" s="1" t="s">
        <v>10045</v>
      </c>
      <c r="AG273" s="1" t="str">
        <f>HYPERLINK("http://dx.doi.org/10.1080/00958972.2021.1924368","http://dx.doi.org/10.1080/00958972.2021.1924368")</f>
        <v>http://dx.doi.org/10.1080/00958972.2021.1924368</v>
      </c>
      <c r="AH273" s="1" t="s">
        <v>48</v>
      </c>
      <c r="AI273" s="1" t="s">
        <v>10613</v>
      </c>
      <c r="AJ273" s="1">
        <v>17</v>
      </c>
      <c r="AK273" s="1" t="s">
        <v>4434</v>
      </c>
      <c r="AL273" s="1" t="s">
        <v>67</v>
      </c>
      <c r="AM273" s="1" t="s">
        <v>2293</v>
      </c>
      <c r="AN273" s="1" t="s">
        <v>48</v>
      </c>
      <c r="AO273" s="1" t="s">
        <v>48</v>
      </c>
      <c r="AP273" s="1" t="s">
        <v>48</v>
      </c>
      <c r="AQ273" s="1" t="s">
        <v>48</v>
      </c>
      <c r="AR273" s="1" t="s">
        <v>10610</v>
      </c>
    </row>
    <row r="274" spans="1:44" x14ac:dyDescent="0.45">
      <c r="A274" s="1" t="s">
        <v>10094</v>
      </c>
      <c r="B274" s="1" t="s">
        <v>10095</v>
      </c>
      <c r="C274" s="1" t="s">
        <v>6530</v>
      </c>
      <c r="D274" s="1" t="s">
        <v>52</v>
      </c>
      <c r="E274" s="1" t="s">
        <v>53</v>
      </c>
      <c r="F274" s="1" t="s">
        <v>10096</v>
      </c>
      <c r="G274" s="1" t="s">
        <v>10097</v>
      </c>
      <c r="H274" s="1" t="s">
        <v>6380</v>
      </c>
      <c r="I274" s="1">
        <v>83</v>
      </c>
      <c r="J274" s="1">
        <v>10</v>
      </c>
      <c r="K274" s="1">
        <v>0</v>
      </c>
      <c r="L274" s="1">
        <v>27</v>
      </c>
      <c r="M274" s="1" t="s">
        <v>3024</v>
      </c>
      <c r="N274" s="1" t="s">
        <v>422</v>
      </c>
      <c r="O274" s="1" t="s">
        <v>3025</v>
      </c>
      <c r="P274" s="1" t="s">
        <v>6532</v>
      </c>
      <c r="Q274" s="1" t="s">
        <v>6533</v>
      </c>
      <c r="R274" s="1" t="s">
        <v>48</v>
      </c>
      <c r="S274" s="1" t="s">
        <v>6534</v>
      </c>
      <c r="T274" s="1" t="s">
        <v>6535</v>
      </c>
      <c r="U274" s="1" t="s">
        <v>1439</v>
      </c>
      <c r="V274" s="1">
        <v>2021</v>
      </c>
      <c r="W274" s="1">
        <v>522</v>
      </c>
      <c r="X274" s="1" t="s">
        <v>48</v>
      </c>
      <c r="Y274" s="1" t="s">
        <v>48</v>
      </c>
      <c r="Z274" s="1" t="s">
        <v>48</v>
      </c>
      <c r="AA274" s="1" t="s">
        <v>48</v>
      </c>
      <c r="AB274" s="1" t="s">
        <v>48</v>
      </c>
      <c r="AC274" s="1" t="s">
        <v>48</v>
      </c>
      <c r="AD274" s="1" t="s">
        <v>48</v>
      </c>
      <c r="AE274" s="1">
        <v>120346</v>
      </c>
      <c r="AF274" s="1" t="s">
        <v>10098</v>
      </c>
      <c r="AG274" s="1" t="str">
        <f>HYPERLINK("http://dx.doi.org/10.1016/j.ica.2021.120346","http://dx.doi.org/10.1016/j.ica.2021.120346")</f>
        <v>http://dx.doi.org/10.1016/j.ica.2021.120346</v>
      </c>
      <c r="AH274" s="1" t="s">
        <v>48</v>
      </c>
      <c r="AI274" s="1" t="s">
        <v>10621</v>
      </c>
      <c r="AJ274" s="1">
        <v>10</v>
      </c>
      <c r="AK274" s="1" t="s">
        <v>4434</v>
      </c>
      <c r="AL274" s="1" t="s">
        <v>67</v>
      </c>
      <c r="AM274" s="1" t="s">
        <v>2293</v>
      </c>
      <c r="AN274" s="1" t="s">
        <v>48</v>
      </c>
      <c r="AO274" s="1" t="s">
        <v>48</v>
      </c>
      <c r="AP274" s="1" t="s">
        <v>48</v>
      </c>
      <c r="AQ274" s="1" t="s">
        <v>48</v>
      </c>
      <c r="AR274" s="1" t="s">
        <v>10610</v>
      </c>
    </row>
    <row r="275" spans="1:44" x14ac:dyDescent="0.45">
      <c r="A275" s="1" t="s">
        <v>10099</v>
      </c>
      <c r="B275" s="1" t="s">
        <v>10100</v>
      </c>
      <c r="C275" s="1" t="s">
        <v>2133</v>
      </c>
      <c r="D275" s="1" t="s">
        <v>52</v>
      </c>
      <c r="E275" s="1" t="s">
        <v>53</v>
      </c>
      <c r="F275" s="1" t="s">
        <v>10101</v>
      </c>
      <c r="G275" s="1" t="s">
        <v>5464</v>
      </c>
      <c r="H275" s="1" t="s">
        <v>10102</v>
      </c>
      <c r="I275" s="1">
        <v>40</v>
      </c>
      <c r="J275" s="1">
        <v>2</v>
      </c>
      <c r="K275" s="1">
        <v>3</v>
      </c>
      <c r="L275" s="1">
        <v>11</v>
      </c>
      <c r="M275" s="1" t="s">
        <v>252</v>
      </c>
      <c r="N275" s="1" t="s">
        <v>253</v>
      </c>
      <c r="O275" s="1" t="s">
        <v>254</v>
      </c>
      <c r="P275" s="1" t="s">
        <v>2134</v>
      </c>
      <c r="Q275" s="1" t="s">
        <v>2135</v>
      </c>
      <c r="R275" s="1" t="s">
        <v>48</v>
      </c>
      <c r="S275" s="1" t="s">
        <v>2136</v>
      </c>
      <c r="T275" s="1" t="s">
        <v>2137</v>
      </c>
      <c r="U275" s="1" t="s">
        <v>103</v>
      </c>
      <c r="V275" s="1">
        <v>2022</v>
      </c>
      <c r="W275" s="1">
        <v>22</v>
      </c>
      <c r="X275" s="1">
        <v>3</v>
      </c>
      <c r="Y275" s="1" t="s">
        <v>48</v>
      </c>
      <c r="Z275" s="1" t="s">
        <v>48</v>
      </c>
      <c r="AA275" s="1" t="s">
        <v>48</v>
      </c>
      <c r="AB275" s="1" t="s">
        <v>48</v>
      </c>
      <c r="AC275" s="1">
        <v>1813</v>
      </c>
      <c r="AD275" s="1">
        <v>1851</v>
      </c>
      <c r="AE275" s="1" t="s">
        <v>48</v>
      </c>
      <c r="AF275" s="1" t="s">
        <v>10103</v>
      </c>
      <c r="AG275" s="1" t="str">
        <f>HYPERLINK("http://dx.doi.org/10.1007/s12351-021-00623-8","http://dx.doi.org/10.1007/s12351-021-00623-8")</f>
        <v>http://dx.doi.org/10.1007/s12351-021-00623-8</v>
      </c>
      <c r="AH275" s="1" t="s">
        <v>48</v>
      </c>
      <c r="AI275" s="1" t="s">
        <v>10617</v>
      </c>
      <c r="AJ275" s="1">
        <v>39</v>
      </c>
      <c r="AK275" s="1" t="s">
        <v>580</v>
      </c>
      <c r="AL275" s="1" t="s">
        <v>67</v>
      </c>
      <c r="AM275" s="1" t="s">
        <v>580</v>
      </c>
      <c r="AN275" s="1" t="s">
        <v>48</v>
      </c>
      <c r="AO275" s="1" t="s">
        <v>48</v>
      </c>
      <c r="AP275" s="1" t="s">
        <v>48</v>
      </c>
      <c r="AQ275" s="1" t="s">
        <v>48</v>
      </c>
      <c r="AR275" s="1" t="s">
        <v>10610</v>
      </c>
    </row>
    <row r="276" spans="1:44" x14ac:dyDescent="0.45">
      <c r="A276" s="1" t="s">
        <v>10104</v>
      </c>
      <c r="B276" s="1" t="s">
        <v>10105</v>
      </c>
      <c r="C276" s="1" t="s">
        <v>2618</v>
      </c>
      <c r="D276" s="1" t="s">
        <v>52</v>
      </c>
      <c r="E276" s="1" t="s">
        <v>53</v>
      </c>
      <c r="F276" s="1" t="s">
        <v>10106</v>
      </c>
      <c r="G276" s="1" t="s">
        <v>6676</v>
      </c>
      <c r="H276" s="1" t="s">
        <v>10107</v>
      </c>
      <c r="I276" s="1">
        <v>80</v>
      </c>
      <c r="J276" s="1">
        <v>22</v>
      </c>
      <c r="K276" s="1">
        <v>0</v>
      </c>
      <c r="L276" s="1">
        <v>9</v>
      </c>
      <c r="M276" s="1" t="s">
        <v>503</v>
      </c>
      <c r="N276" s="1" t="s">
        <v>542</v>
      </c>
      <c r="O276" s="1" t="s">
        <v>543</v>
      </c>
      <c r="P276" s="1" t="s">
        <v>2623</v>
      </c>
      <c r="Q276" s="1" t="s">
        <v>2624</v>
      </c>
      <c r="R276" s="1" t="s">
        <v>48</v>
      </c>
      <c r="S276" s="1" t="s">
        <v>2625</v>
      </c>
      <c r="T276" s="1" t="s">
        <v>2626</v>
      </c>
      <c r="U276" s="1" t="s">
        <v>436</v>
      </c>
      <c r="V276" s="1">
        <v>2021</v>
      </c>
      <c r="W276" s="1">
        <v>32</v>
      </c>
      <c r="X276" s="1">
        <v>17</v>
      </c>
      <c r="Y276" s="1" t="s">
        <v>48</v>
      </c>
      <c r="Z276" s="1" t="s">
        <v>48</v>
      </c>
      <c r="AA276" s="1" t="s">
        <v>48</v>
      </c>
      <c r="AB276" s="1" t="s">
        <v>48</v>
      </c>
      <c r="AC276" s="1">
        <v>22561</v>
      </c>
      <c r="AD276" s="1">
        <v>22578</v>
      </c>
      <c r="AE276" s="1" t="s">
        <v>48</v>
      </c>
      <c r="AF276" s="1" t="s">
        <v>10108</v>
      </c>
      <c r="AG276" s="1" t="str">
        <f>HYPERLINK("http://dx.doi.org/10.1007/s10854-021-06742-4","http://dx.doi.org/10.1007/s10854-021-06742-4")</f>
        <v>http://dx.doi.org/10.1007/s10854-021-06742-4</v>
      </c>
      <c r="AH276" s="1" t="s">
        <v>48</v>
      </c>
      <c r="AI276" s="1" t="s">
        <v>10612</v>
      </c>
      <c r="AJ276" s="1">
        <v>18</v>
      </c>
      <c r="AK276" s="1" t="s">
        <v>2628</v>
      </c>
      <c r="AL276" s="1" t="s">
        <v>67</v>
      </c>
      <c r="AM276" s="1" t="s">
        <v>2629</v>
      </c>
      <c r="AN276" s="1" t="s">
        <v>48</v>
      </c>
      <c r="AO276" s="1" t="s">
        <v>48</v>
      </c>
      <c r="AP276" s="1" t="s">
        <v>48</v>
      </c>
      <c r="AQ276" s="1" t="s">
        <v>48</v>
      </c>
      <c r="AR276" s="1" t="s">
        <v>10610</v>
      </c>
    </row>
    <row r="277" spans="1:44" x14ac:dyDescent="0.45">
      <c r="A277" s="1" t="s">
        <v>10078</v>
      </c>
      <c r="B277" s="1" t="s">
        <v>10079</v>
      </c>
      <c r="C277" s="1" t="s">
        <v>10080</v>
      </c>
      <c r="D277" s="1" t="s">
        <v>52</v>
      </c>
      <c r="E277" s="1" t="s">
        <v>53</v>
      </c>
      <c r="F277" s="1" t="s">
        <v>10081</v>
      </c>
      <c r="G277" s="1" t="s">
        <v>10082</v>
      </c>
      <c r="H277" s="1" t="s">
        <v>10083</v>
      </c>
      <c r="I277" s="1">
        <v>40</v>
      </c>
      <c r="J277" s="1">
        <v>4</v>
      </c>
      <c r="K277" s="1">
        <v>1</v>
      </c>
      <c r="L277" s="1">
        <v>15</v>
      </c>
      <c r="M277" s="1" t="s">
        <v>79</v>
      </c>
      <c r="N277" s="1" t="s">
        <v>80</v>
      </c>
      <c r="O277" s="1" t="s">
        <v>81</v>
      </c>
      <c r="P277" s="1" t="s">
        <v>10084</v>
      </c>
      <c r="Q277" s="1" t="s">
        <v>10085</v>
      </c>
      <c r="R277" s="1" t="s">
        <v>48</v>
      </c>
      <c r="S277" s="1" t="s">
        <v>10086</v>
      </c>
      <c r="T277" s="1" t="s">
        <v>10087</v>
      </c>
      <c r="U277" s="1" t="s">
        <v>436</v>
      </c>
      <c r="V277" s="1">
        <v>2021</v>
      </c>
      <c r="W277" s="1">
        <v>147</v>
      </c>
      <c r="X277" s="1" t="s">
        <v>48</v>
      </c>
      <c r="Y277" s="1" t="s">
        <v>48</v>
      </c>
      <c r="Z277" s="1" t="s">
        <v>48</v>
      </c>
      <c r="AA277" s="1" t="s">
        <v>48</v>
      </c>
      <c r="AB277" s="1" t="s">
        <v>48</v>
      </c>
      <c r="AC277" s="1" t="s">
        <v>48</v>
      </c>
      <c r="AD277" s="1" t="s">
        <v>48</v>
      </c>
      <c r="AE277" s="1">
        <v>110528</v>
      </c>
      <c r="AF277" s="1" t="s">
        <v>10088</v>
      </c>
      <c r="AG277" s="1" t="str">
        <f>HYPERLINK("http://dx.doi.org/10.1016/j.foodres.2021.110528","http://dx.doi.org/10.1016/j.foodres.2021.110528")</f>
        <v>http://dx.doi.org/10.1016/j.foodres.2021.110528</v>
      </c>
      <c r="AH277" s="1" t="s">
        <v>48</v>
      </c>
      <c r="AI277" s="1" t="s">
        <v>10611</v>
      </c>
      <c r="AJ277" s="1">
        <v>8</v>
      </c>
      <c r="AK277" s="1" t="s">
        <v>2971</v>
      </c>
      <c r="AL277" s="1" t="s">
        <v>67</v>
      </c>
      <c r="AM277" s="1" t="s">
        <v>2971</v>
      </c>
      <c r="AN277" s="1">
        <v>34399506</v>
      </c>
      <c r="AO277" s="1" t="s">
        <v>48</v>
      </c>
      <c r="AP277" s="1" t="s">
        <v>48</v>
      </c>
      <c r="AQ277" s="1" t="s">
        <v>48</v>
      </c>
      <c r="AR277" s="1" t="s">
        <v>10610</v>
      </c>
    </row>
    <row r="278" spans="1:44" x14ac:dyDescent="0.45">
      <c r="A278" s="1" t="s">
        <v>10089</v>
      </c>
      <c r="B278" s="1" t="s">
        <v>10090</v>
      </c>
      <c r="C278" s="1" t="s">
        <v>2279</v>
      </c>
      <c r="D278" s="1" t="s">
        <v>52</v>
      </c>
      <c r="E278" s="1" t="s">
        <v>53</v>
      </c>
      <c r="F278" s="1" t="s">
        <v>10091</v>
      </c>
      <c r="G278" s="1" t="s">
        <v>10092</v>
      </c>
      <c r="H278" s="1" t="s">
        <v>9935</v>
      </c>
      <c r="I278" s="1">
        <v>44</v>
      </c>
      <c r="J278" s="1">
        <v>16</v>
      </c>
      <c r="K278" s="1">
        <v>0</v>
      </c>
      <c r="L278" s="1">
        <v>4</v>
      </c>
      <c r="M278" s="1" t="s">
        <v>2283</v>
      </c>
      <c r="N278" s="1" t="s">
        <v>632</v>
      </c>
      <c r="O278" s="1" t="s">
        <v>2284</v>
      </c>
      <c r="P278" s="1" t="s">
        <v>2285</v>
      </c>
      <c r="Q278" s="1" t="s">
        <v>2286</v>
      </c>
      <c r="R278" s="1" t="s">
        <v>48</v>
      </c>
      <c r="S278" s="1" t="s">
        <v>2287</v>
      </c>
      <c r="T278" s="1" t="s">
        <v>2288</v>
      </c>
      <c r="U278" s="1" t="s">
        <v>10643</v>
      </c>
      <c r="V278" s="1">
        <v>2021</v>
      </c>
      <c r="W278" s="1">
        <v>2021</v>
      </c>
      <c r="X278" s="1" t="s">
        <v>48</v>
      </c>
      <c r="Y278" s="1" t="s">
        <v>48</v>
      </c>
      <c r="Z278" s="1" t="s">
        <v>48</v>
      </c>
      <c r="AA278" s="1" t="s">
        <v>48</v>
      </c>
      <c r="AB278" s="1" t="s">
        <v>48</v>
      </c>
      <c r="AC278" s="1" t="s">
        <v>48</v>
      </c>
      <c r="AD278" s="1" t="s">
        <v>48</v>
      </c>
      <c r="AE278" s="1">
        <v>9958077</v>
      </c>
      <c r="AF278" s="1" t="s">
        <v>10093</v>
      </c>
      <c r="AG278" s="1" t="str">
        <f>HYPERLINK("http://dx.doi.org/10.1155/2021/9958077","http://dx.doi.org/10.1155/2021/9958077")</f>
        <v>http://dx.doi.org/10.1155/2021/9958077</v>
      </c>
      <c r="AH278" s="1" t="s">
        <v>48</v>
      </c>
      <c r="AI278" s="1" t="s">
        <v>48</v>
      </c>
      <c r="AJ278" s="1">
        <v>9</v>
      </c>
      <c r="AK278" s="1" t="s">
        <v>2290</v>
      </c>
      <c r="AL278" s="1" t="s">
        <v>67</v>
      </c>
      <c r="AM278" s="1" t="s">
        <v>2291</v>
      </c>
      <c r="AN278" s="1" t="s">
        <v>48</v>
      </c>
      <c r="AO278" s="1" t="s">
        <v>125</v>
      </c>
      <c r="AP278" s="1" t="s">
        <v>48</v>
      </c>
      <c r="AQ278" s="1" t="s">
        <v>48</v>
      </c>
      <c r="AR278" s="1" t="s">
        <v>10610</v>
      </c>
    </row>
    <row r="279" spans="1:44" x14ac:dyDescent="0.45">
      <c r="A279" s="1" t="s">
        <v>10136</v>
      </c>
      <c r="B279" s="1" t="s">
        <v>10137</v>
      </c>
      <c r="C279" s="1" t="s">
        <v>10138</v>
      </c>
      <c r="D279" s="1" t="s">
        <v>52</v>
      </c>
      <c r="E279" s="1" t="s">
        <v>53</v>
      </c>
      <c r="F279" s="1" t="s">
        <v>10139</v>
      </c>
      <c r="G279" s="1" t="s">
        <v>10140</v>
      </c>
      <c r="H279" s="1" t="s">
        <v>10141</v>
      </c>
      <c r="I279" s="1">
        <v>94</v>
      </c>
      <c r="J279" s="1">
        <v>29</v>
      </c>
      <c r="K279" s="1">
        <v>0</v>
      </c>
      <c r="L279" s="1">
        <v>25</v>
      </c>
      <c r="M279" s="1" t="s">
        <v>198</v>
      </c>
      <c r="N279" s="1" t="s">
        <v>146</v>
      </c>
      <c r="O279" s="1" t="s">
        <v>199</v>
      </c>
      <c r="P279" s="1" t="s">
        <v>10142</v>
      </c>
      <c r="Q279" s="1" t="s">
        <v>10143</v>
      </c>
      <c r="R279" s="1" t="s">
        <v>48</v>
      </c>
      <c r="S279" s="1" t="s">
        <v>10144</v>
      </c>
      <c r="T279" s="1" t="s">
        <v>10145</v>
      </c>
      <c r="U279" s="1" t="s">
        <v>10650</v>
      </c>
      <c r="V279" s="1">
        <v>2021</v>
      </c>
      <c r="W279" s="1">
        <v>58</v>
      </c>
      <c r="X279" s="1">
        <v>2</v>
      </c>
      <c r="Y279" s="1" t="s">
        <v>48</v>
      </c>
      <c r="Z279" s="1" t="s">
        <v>48</v>
      </c>
      <c r="AA279" s="1" t="s">
        <v>48</v>
      </c>
      <c r="AB279" s="1" t="s">
        <v>48</v>
      </c>
      <c r="AC279" s="1">
        <v>281</v>
      </c>
      <c r="AD279" s="1">
        <v>299</v>
      </c>
      <c r="AE279" s="1" t="s">
        <v>48</v>
      </c>
      <c r="AF279" s="1" t="s">
        <v>10146</v>
      </c>
      <c r="AG279" s="1" t="str">
        <f>HYPERLINK("http://dx.doi.org/10.1080/15481603.2021.1879495","http://dx.doi.org/10.1080/15481603.2021.1879495")</f>
        <v>http://dx.doi.org/10.1080/15481603.2021.1879495</v>
      </c>
      <c r="AH279" s="1" t="s">
        <v>48</v>
      </c>
      <c r="AI279" s="1" t="s">
        <v>10617</v>
      </c>
      <c r="AJ279" s="1">
        <v>19</v>
      </c>
      <c r="AK279" s="1" t="s">
        <v>10147</v>
      </c>
      <c r="AL279" s="1" t="s">
        <v>67</v>
      </c>
      <c r="AM279" s="1" t="s">
        <v>10148</v>
      </c>
      <c r="AN279" s="1" t="s">
        <v>48</v>
      </c>
      <c r="AO279" s="1" t="s">
        <v>10149</v>
      </c>
      <c r="AP279" s="1" t="s">
        <v>48</v>
      </c>
      <c r="AQ279" s="1" t="s">
        <v>48</v>
      </c>
      <c r="AR279" s="1" t="s">
        <v>10610</v>
      </c>
    </row>
    <row r="280" spans="1:44" x14ac:dyDescent="0.45">
      <c r="A280" s="1" t="s">
        <v>10109</v>
      </c>
      <c r="B280" s="1" t="s">
        <v>10110</v>
      </c>
      <c r="C280" s="1" t="s">
        <v>10111</v>
      </c>
      <c r="D280" s="1" t="s">
        <v>52</v>
      </c>
      <c r="E280" s="1" t="s">
        <v>53</v>
      </c>
      <c r="F280" s="1" t="s">
        <v>10112</v>
      </c>
      <c r="G280" s="1" t="s">
        <v>10113</v>
      </c>
      <c r="H280" s="1" t="s">
        <v>10114</v>
      </c>
      <c r="I280" s="1">
        <v>34</v>
      </c>
      <c r="J280" s="1">
        <v>13</v>
      </c>
      <c r="K280" s="1">
        <v>1</v>
      </c>
      <c r="L280" s="1">
        <v>2</v>
      </c>
      <c r="M280" s="1" t="s">
        <v>79</v>
      </c>
      <c r="N280" s="1" t="s">
        <v>80</v>
      </c>
      <c r="O280" s="1" t="s">
        <v>81</v>
      </c>
      <c r="P280" s="1" t="s">
        <v>10115</v>
      </c>
      <c r="Q280" s="1" t="s">
        <v>48</v>
      </c>
      <c r="R280" s="1" t="s">
        <v>48</v>
      </c>
      <c r="S280" s="1" t="s">
        <v>10116</v>
      </c>
      <c r="T280" s="1" t="s">
        <v>10117</v>
      </c>
      <c r="U280" s="1" t="s">
        <v>86</v>
      </c>
      <c r="V280" s="1">
        <v>2021</v>
      </c>
      <c r="W280" s="1">
        <v>1</v>
      </c>
      <c r="X280" s="1" t="s">
        <v>48</v>
      </c>
      <c r="Y280" s="1" t="s">
        <v>48</v>
      </c>
      <c r="Z280" s="1" t="s">
        <v>48</v>
      </c>
      <c r="AA280" s="1" t="s">
        <v>48</v>
      </c>
      <c r="AB280" s="1" t="s">
        <v>48</v>
      </c>
      <c r="AC280" s="1" t="s">
        <v>48</v>
      </c>
      <c r="AD280" s="1" t="s">
        <v>48</v>
      </c>
      <c r="AE280" s="1">
        <v>100019</v>
      </c>
      <c r="AF280" s="1" t="s">
        <v>10118</v>
      </c>
      <c r="AG280" s="1" t="str">
        <f>HYPERLINK("http://dx.doi.org/10.1016/j.atech.2021.100019","http://dx.doi.org/10.1016/j.atech.2021.100019")</f>
        <v>http://dx.doi.org/10.1016/j.atech.2021.100019</v>
      </c>
      <c r="AH280" s="1" t="s">
        <v>48</v>
      </c>
      <c r="AI280" s="1" t="s">
        <v>48</v>
      </c>
      <c r="AJ280" s="1">
        <v>9</v>
      </c>
      <c r="AK280" s="1" t="s">
        <v>10119</v>
      </c>
      <c r="AL280" s="1" t="s">
        <v>124</v>
      </c>
      <c r="AM280" s="1" t="s">
        <v>3370</v>
      </c>
      <c r="AN280" s="1" t="s">
        <v>48</v>
      </c>
      <c r="AO280" s="1" t="s">
        <v>125</v>
      </c>
      <c r="AP280" s="1" t="s">
        <v>48</v>
      </c>
      <c r="AQ280" s="1" t="s">
        <v>48</v>
      </c>
      <c r="AR280" s="1" t="s">
        <v>10610</v>
      </c>
    </row>
    <row r="281" spans="1:44" x14ac:dyDescent="0.45">
      <c r="A281" s="1" t="s">
        <v>10120</v>
      </c>
      <c r="B281" s="1" t="s">
        <v>10121</v>
      </c>
      <c r="C281" s="1" t="s">
        <v>10122</v>
      </c>
      <c r="D281" s="1" t="s">
        <v>52</v>
      </c>
      <c r="E281" s="1" t="s">
        <v>53</v>
      </c>
      <c r="F281" s="1" t="s">
        <v>10123</v>
      </c>
      <c r="G281" s="1" t="s">
        <v>10124</v>
      </c>
      <c r="H281" s="1" t="s">
        <v>10125</v>
      </c>
      <c r="I281" s="1">
        <v>80</v>
      </c>
      <c r="J281" s="1">
        <v>15</v>
      </c>
      <c r="K281" s="1">
        <v>0</v>
      </c>
      <c r="L281" s="1">
        <v>18</v>
      </c>
      <c r="M281" s="1" t="s">
        <v>132</v>
      </c>
      <c r="N281" s="1" t="s">
        <v>133</v>
      </c>
      <c r="O281" s="1" t="s">
        <v>134</v>
      </c>
      <c r="P281" s="1" t="s">
        <v>48</v>
      </c>
      <c r="Q281" s="1" t="s">
        <v>10126</v>
      </c>
      <c r="R281" s="1" t="s">
        <v>48</v>
      </c>
      <c r="S281" s="1" t="s">
        <v>10127</v>
      </c>
      <c r="T281" s="1" t="s">
        <v>10128</v>
      </c>
      <c r="U281" s="1" t="s">
        <v>962</v>
      </c>
      <c r="V281" s="1">
        <v>2021</v>
      </c>
      <c r="W281" s="1">
        <v>13</v>
      </c>
      <c r="X281" s="1">
        <v>4</v>
      </c>
      <c r="Y281" s="1" t="s">
        <v>48</v>
      </c>
      <c r="Z281" s="1" t="s">
        <v>48</v>
      </c>
      <c r="AA281" s="1" t="s">
        <v>48</v>
      </c>
      <c r="AB281" s="1" t="s">
        <v>48</v>
      </c>
      <c r="AC281" s="1" t="s">
        <v>48</v>
      </c>
      <c r="AD281" s="1" t="s">
        <v>48</v>
      </c>
      <c r="AE281" s="1">
        <v>655</v>
      </c>
      <c r="AF281" s="1" t="s">
        <v>10129</v>
      </c>
      <c r="AG281" s="1" t="str">
        <f>HYPERLINK("http://dx.doi.org/10.3390/rs13040655","http://dx.doi.org/10.3390/rs13040655")</f>
        <v>http://dx.doi.org/10.3390/rs13040655</v>
      </c>
      <c r="AH281" s="1" t="s">
        <v>48</v>
      </c>
      <c r="AI281" s="1" t="s">
        <v>48</v>
      </c>
      <c r="AJ281" s="1">
        <v>21</v>
      </c>
      <c r="AK281" s="1" t="s">
        <v>988</v>
      </c>
      <c r="AL281" s="1" t="s">
        <v>67</v>
      </c>
      <c r="AM281" s="1" t="s">
        <v>989</v>
      </c>
      <c r="AN281" s="1" t="s">
        <v>48</v>
      </c>
      <c r="AO281" s="1" t="s">
        <v>125</v>
      </c>
      <c r="AP281" s="1" t="s">
        <v>48</v>
      </c>
      <c r="AQ281" s="1" t="s">
        <v>48</v>
      </c>
      <c r="AR281" s="1" t="s">
        <v>10610</v>
      </c>
    </row>
    <row r="282" spans="1:44" x14ac:dyDescent="0.45">
      <c r="A282" s="1" t="s">
        <v>10130</v>
      </c>
      <c r="B282" s="1" t="s">
        <v>10131</v>
      </c>
      <c r="C282" s="1" t="s">
        <v>2841</v>
      </c>
      <c r="D282" s="1" t="s">
        <v>52</v>
      </c>
      <c r="E282" s="1" t="s">
        <v>53</v>
      </c>
      <c r="F282" s="1" t="s">
        <v>10132</v>
      </c>
      <c r="G282" s="1" t="s">
        <v>10133</v>
      </c>
      <c r="H282" s="1" t="s">
        <v>10134</v>
      </c>
      <c r="I282" s="1">
        <v>68</v>
      </c>
      <c r="J282" s="1">
        <v>50</v>
      </c>
      <c r="K282" s="1">
        <v>0</v>
      </c>
      <c r="L282" s="1">
        <v>6</v>
      </c>
      <c r="M282" s="1" t="s">
        <v>1523</v>
      </c>
      <c r="N282" s="1" t="s">
        <v>632</v>
      </c>
      <c r="O282" s="1" t="s">
        <v>1524</v>
      </c>
      <c r="P282" s="1" t="s">
        <v>2844</v>
      </c>
      <c r="Q282" s="1" t="s">
        <v>2845</v>
      </c>
      <c r="R282" s="1" t="s">
        <v>48</v>
      </c>
      <c r="S282" s="1" t="s">
        <v>2846</v>
      </c>
      <c r="T282" s="1" t="s">
        <v>2847</v>
      </c>
      <c r="U282" s="1" t="s">
        <v>103</v>
      </c>
      <c r="V282" s="1">
        <v>2021</v>
      </c>
      <c r="W282" s="1">
        <v>6</v>
      </c>
      <c r="X282" s="1">
        <v>3</v>
      </c>
      <c r="Y282" s="1" t="s">
        <v>48</v>
      </c>
      <c r="Z282" s="1" t="s">
        <v>48</v>
      </c>
      <c r="AA282" s="1" t="s">
        <v>48</v>
      </c>
      <c r="AB282" s="1" t="s">
        <v>48</v>
      </c>
      <c r="AC282" s="1">
        <v>507</v>
      </c>
      <c r="AD282" s="1">
        <v>521</v>
      </c>
      <c r="AE282" s="1" t="s">
        <v>48</v>
      </c>
      <c r="AF282" s="1" t="s">
        <v>10135</v>
      </c>
      <c r="AG282" s="1" t="str">
        <f>HYPERLINK("http://dx.doi.org/10.1007/s41066-020-00212-8","http://dx.doi.org/10.1007/s41066-020-00212-8")</f>
        <v>http://dx.doi.org/10.1007/s41066-020-00212-8</v>
      </c>
      <c r="AH282" s="1" t="s">
        <v>48</v>
      </c>
      <c r="AI282" s="1" t="s">
        <v>48</v>
      </c>
      <c r="AJ282" s="1">
        <v>15</v>
      </c>
      <c r="AK282" s="1" t="s">
        <v>2849</v>
      </c>
      <c r="AL282" s="1" t="s">
        <v>124</v>
      </c>
      <c r="AM282" s="1" t="s">
        <v>292</v>
      </c>
      <c r="AN282" s="1" t="s">
        <v>48</v>
      </c>
      <c r="AO282" s="1" t="s">
        <v>48</v>
      </c>
      <c r="AP282" s="1" t="s">
        <v>48</v>
      </c>
      <c r="AQ282" s="1" t="s">
        <v>48</v>
      </c>
      <c r="AR282" s="1" t="s">
        <v>10610</v>
      </c>
    </row>
    <row r="283" spans="1:44" x14ac:dyDescent="0.45">
      <c r="A283" s="1" t="s">
        <v>10150</v>
      </c>
      <c r="B283" s="1" t="s">
        <v>10151</v>
      </c>
      <c r="C283" s="1" t="s">
        <v>10152</v>
      </c>
      <c r="D283" s="1" t="s">
        <v>52</v>
      </c>
      <c r="E283" s="1" t="s">
        <v>1114</v>
      </c>
      <c r="F283" s="1" t="s">
        <v>10153</v>
      </c>
      <c r="G283" s="1" t="s">
        <v>10154</v>
      </c>
      <c r="H283" s="1" t="s">
        <v>10155</v>
      </c>
      <c r="I283" s="1">
        <v>146</v>
      </c>
      <c r="J283" s="1">
        <v>10</v>
      </c>
      <c r="K283" s="1">
        <v>1</v>
      </c>
      <c r="L283" s="1">
        <v>59</v>
      </c>
      <c r="M283" s="1" t="s">
        <v>421</v>
      </c>
      <c r="N283" s="1" t="s">
        <v>422</v>
      </c>
      <c r="O283" s="1" t="s">
        <v>423</v>
      </c>
      <c r="P283" s="1" t="s">
        <v>10156</v>
      </c>
      <c r="Q283" s="1" t="s">
        <v>48</v>
      </c>
      <c r="R283" s="1" t="s">
        <v>48</v>
      </c>
      <c r="S283" s="1" t="s">
        <v>10157</v>
      </c>
      <c r="T283" s="1" t="s">
        <v>10158</v>
      </c>
      <c r="U283" s="1" t="s">
        <v>4153</v>
      </c>
      <c r="V283" s="1">
        <v>2021</v>
      </c>
      <c r="W283" s="1">
        <v>9</v>
      </c>
      <c r="X283" s="1" t="s">
        <v>48</v>
      </c>
      <c r="Y283" s="1" t="s">
        <v>48</v>
      </c>
      <c r="Z283" s="1" t="s">
        <v>48</v>
      </c>
      <c r="AA283" s="1" t="s">
        <v>48</v>
      </c>
      <c r="AB283" s="1" t="s">
        <v>48</v>
      </c>
      <c r="AC283" s="1" t="s">
        <v>48</v>
      </c>
      <c r="AD283" s="1" t="s">
        <v>48</v>
      </c>
      <c r="AE283" s="1">
        <v>666858</v>
      </c>
      <c r="AF283" s="1" t="s">
        <v>10159</v>
      </c>
      <c r="AG283" s="1" t="str">
        <f>HYPERLINK("http://dx.doi.org/10.3389/fbioe.2021.666858","http://dx.doi.org/10.3389/fbioe.2021.666858")</f>
        <v>http://dx.doi.org/10.3389/fbioe.2021.666858</v>
      </c>
      <c r="AH283" s="1" t="s">
        <v>48</v>
      </c>
      <c r="AI283" s="1" t="s">
        <v>48</v>
      </c>
      <c r="AJ283" s="1">
        <v>10</v>
      </c>
      <c r="AK283" s="1" t="s">
        <v>10160</v>
      </c>
      <c r="AL283" s="1" t="s">
        <v>67</v>
      </c>
      <c r="AM283" s="1" t="s">
        <v>9853</v>
      </c>
      <c r="AN283" s="1">
        <v>34409018</v>
      </c>
      <c r="AO283" s="1" t="s">
        <v>366</v>
      </c>
      <c r="AP283" s="1" t="s">
        <v>48</v>
      </c>
      <c r="AQ283" s="1" t="s">
        <v>48</v>
      </c>
      <c r="AR283" s="1" t="s">
        <v>10610</v>
      </c>
    </row>
    <row r="284" spans="1:44" x14ac:dyDescent="0.45">
      <c r="A284" s="1" t="s">
        <v>10167</v>
      </c>
      <c r="B284" s="1" t="s">
        <v>10168</v>
      </c>
      <c r="C284" s="1" t="s">
        <v>10169</v>
      </c>
      <c r="D284" s="1" t="s">
        <v>52</v>
      </c>
      <c r="E284" s="1" t="s">
        <v>3750</v>
      </c>
      <c r="F284" s="1" t="s">
        <v>10170</v>
      </c>
      <c r="G284" s="1" t="s">
        <v>10171</v>
      </c>
      <c r="H284" s="1" t="s">
        <v>10172</v>
      </c>
      <c r="I284" s="1">
        <v>17</v>
      </c>
      <c r="J284" s="1">
        <v>2</v>
      </c>
      <c r="K284" s="1">
        <v>0</v>
      </c>
      <c r="L284" s="1">
        <v>7</v>
      </c>
      <c r="M284" s="1" t="s">
        <v>3754</v>
      </c>
      <c r="N284" s="1" t="s">
        <v>504</v>
      </c>
      <c r="O284" s="1" t="s">
        <v>3755</v>
      </c>
      <c r="P284" s="1" t="s">
        <v>48</v>
      </c>
      <c r="Q284" s="1" t="s">
        <v>48</v>
      </c>
      <c r="R284" s="1" t="s">
        <v>10173</v>
      </c>
      <c r="S284" s="1" t="s">
        <v>48</v>
      </c>
      <c r="T284" s="1" t="s">
        <v>48</v>
      </c>
      <c r="U284" s="1" t="s">
        <v>48</v>
      </c>
      <c r="V284" s="1">
        <v>2021</v>
      </c>
      <c r="W284" s="1" t="s">
        <v>48</v>
      </c>
      <c r="X284" s="1" t="s">
        <v>48</v>
      </c>
      <c r="Y284" s="1" t="s">
        <v>48</v>
      </c>
      <c r="Z284" s="1" t="s">
        <v>48</v>
      </c>
      <c r="AA284" s="1" t="s">
        <v>48</v>
      </c>
      <c r="AB284" s="1" t="s">
        <v>48</v>
      </c>
      <c r="AC284" s="1">
        <v>83</v>
      </c>
      <c r="AD284" s="1">
        <v>85</v>
      </c>
      <c r="AE284" s="1" t="s">
        <v>48</v>
      </c>
      <c r="AF284" s="1" t="s">
        <v>10174</v>
      </c>
      <c r="AG284" s="1" t="str">
        <f>HYPERLINK("http://dx.doi.org/10.1109/ICCS54944.2021.00024","http://dx.doi.org/10.1109/ICCS54944.2021.00024")</f>
        <v>http://dx.doi.org/10.1109/ICCS54944.2021.00024</v>
      </c>
      <c r="AH284" s="1" t="s">
        <v>48</v>
      </c>
      <c r="AI284" s="1" t="s">
        <v>48</v>
      </c>
      <c r="AJ284" s="1">
        <v>3</v>
      </c>
      <c r="AK284" s="1" t="s">
        <v>10175</v>
      </c>
      <c r="AL284" s="1" t="s">
        <v>3758</v>
      </c>
      <c r="AM284" s="1" t="s">
        <v>292</v>
      </c>
      <c r="AN284" s="1" t="s">
        <v>48</v>
      </c>
      <c r="AO284" s="1" t="s">
        <v>48</v>
      </c>
      <c r="AP284" s="1" t="s">
        <v>48</v>
      </c>
      <c r="AQ284" s="1" t="s">
        <v>48</v>
      </c>
      <c r="AR284" s="1" t="s">
        <v>10610</v>
      </c>
    </row>
    <row r="285" spans="1:44" x14ac:dyDescent="0.45">
      <c r="A285" s="1" t="s">
        <v>10161</v>
      </c>
      <c r="B285" s="1" t="s">
        <v>10162</v>
      </c>
      <c r="C285" s="1" t="s">
        <v>2917</v>
      </c>
      <c r="D285" s="1" t="s">
        <v>52</v>
      </c>
      <c r="E285" s="1" t="s">
        <v>53</v>
      </c>
      <c r="F285" s="1" t="s">
        <v>10163</v>
      </c>
      <c r="G285" s="1" t="s">
        <v>10164</v>
      </c>
      <c r="H285" s="1" t="s">
        <v>10165</v>
      </c>
      <c r="I285" s="1">
        <v>38</v>
      </c>
      <c r="J285" s="1">
        <v>2</v>
      </c>
      <c r="K285" s="1">
        <v>0</v>
      </c>
      <c r="L285" s="1">
        <v>4</v>
      </c>
      <c r="M285" s="1" t="s">
        <v>3812</v>
      </c>
      <c r="N285" s="1" t="s">
        <v>2271</v>
      </c>
      <c r="O285" s="1" t="s">
        <v>2272</v>
      </c>
      <c r="P285" s="1" t="s">
        <v>2920</v>
      </c>
      <c r="Q285" s="1" t="s">
        <v>2921</v>
      </c>
      <c r="R285" s="1" t="s">
        <v>48</v>
      </c>
      <c r="S285" s="1" t="s">
        <v>2922</v>
      </c>
      <c r="T285" s="1" t="s">
        <v>2923</v>
      </c>
      <c r="U285" s="1" t="s">
        <v>598</v>
      </c>
      <c r="V285" s="1">
        <v>2021</v>
      </c>
      <c r="W285" s="1">
        <v>7</v>
      </c>
      <c r="X285" s="1">
        <v>4</v>
      </c>
      <c r="Y285" s="1" t="s">
        <v>48</v>
      </c>
      <c r="Z285" s="1" t="s">
        <v>48</v>
      </c>
      <c r="AA285" s="1" t="s">
        <v>48</v>
      </c>
      <c r="AB285" s="1" t="s">
        <v>48</v>
      </c>
      <c r="AC285" s="1" t="s">
        <v>48</v>
      </c>
      <c r="AD285" s="1" t="s">
        <v>48</v>
      </c>
      <c r="AE285" s="1">
        <v>53</v>
      </c>
      <c r="AF285" s="1" t="s">
        <v>10166</v>
      </c>
      <c r="AG285" s="1" t="str">
        <f>HYPERLINK("http://dx.doi.org/10.1007/s40899-021-00536-6","http://dx.doi.org/10.1007/s40899-021-00536-6")</f>
        <v>http://dx.doi.org/10.1007/s40899-021-00536-6</v>
      </c>
      <c r="AH285" s="1" t="s">
        <v>48</v>
      </c>
      <c r="AI285" s="1" t="s">
        <v>48</v>
      </c>
      <c r="AJ285" s="1">
        <v>19</v>
      </c>
      <c r="AK285" s="1" t="s">
        <v>205</v>
      </c>
      <c r="AL285" s="1" t="s">
        <v>124</v>
      </c>
      <c r="AM285" s="1" t="s">
        <v>205</v>
      </c>
      <c r="AN285" s="1" t="s">
        <v>48</v>
      </c>
      <c r="AO285" s="1" t="s">
        <v>48</v>
      </c>
      <c r="AP285" s="1" t="s">
        <v>48</v>
      </c>
      <c r="AQ285" s="1" t="s">
        <v>48</v>
      </c>
      <c r="AR285" s="1" t="s">
        <v>10610</v>
      </c>
    </row>
    <row r="286" spans="1:44" x14ac:dyDescent="0.45">
      <c r="A286" s="1" t="s">
        <v>10176</v>
      </c>
      <c r="B286" s="1" t="s">
        <v>10177</v>
      </c>
      <c r="C286" s="1" t="s">
        <v>6695</v>
      </c>
      <c r="D286" s="1" t="s">
        <v>52</v>
      </c>
      <c r="E286" s="1" t="s">
        <v>3750</v>
      </c>
      <c r="F286" s="1" t="s">
        <v>10178</v>
      </c>
      <c r="G286" s="1" t="s">
        <v>10179</v>
      </c>
      <c r="H286" s="1" t="s">
        <v>10180</v>
      </c>
      <c r="I286" s="1">
        <v>33</v>
      </c>
      <c r="J286" s="1">
        <v>8</v>
      </c>
      <c r="K286" s="1">
        <v>1</v>
      </c>
      <c r="L286" s="1">
        <v>5</v>
      </c>
      <c r="M286" s="1" t="s">
        <v>79</v>
      </c>
      <c r="N286" s="1" t="s">
        <v>80</v>
      </c>
      <c r="O286" s="1" t="s">
        <v>81</v>
      </c>
      <c r="P286" s="1" t="s">
        <v>6698</v>
      </c>
      <c r="Q286" s="1" t="s">
        <v>48</v>
      </c>
      <c r="R286" s="1" t="s">
        <v>48</v>
      </c>
      <c r="S286" s="1" t="s">
        <v>6699</v>
      </c>
      <c r="T286" s="1" t="s">
        <v>6700</v>
      </c>
      <c r="U286" s="1" t="s">
        <v>48</v>
      </c>
      <c r="V286" s="1">
        <v>2021</v>
      </c>
      <c r="W286" s="1">
        <v>43</v>
      </c>
      <c r="X286" s="1" t="s">
        <v>48</v>
      </c>
      <c r="Y286" s="1">
        <v>6</v>
      </c>
      <c r="Z286" s="1" t="s">
        <v>48</v>
      </c>
      <c r="AA286" s="1" t="s">
        <v>1260</v>
      </c>
      <c r="AB286" s="1" t="s">
        <v>48</v>
      </c>
      <c r="AC286" s="1">
        <v>3481</v>
      </c>
      <c r="AD286" s="1">
        <v>3486</v>
      </c>
      <c r="AE286" s="1" t="s">
        <v>48</v>
      </c>
      <c r="AF286" s="1" t="s">
        <v>10181</v>
      </c>
      <c r="AG286" s="1" t="str">
        <f>HYPERLINK("http://dx.doi.org/10.1016/j.matpr.2020.09.567","http://dx.doi.org/10.1016/j.matpr.2020.09.567")</f>
        <v>http://dx.doi.org/10.1016/j.matpr.2020.09.567</v>
      </c>
      <c r="AH286" s="1" t="s">
        <v>48</v>
      </c>
      <c r="AI286" s="1" t="s">
        <v>10621</v>
      </c>
      <c r="AJ286" s="1">
        <v>6</v>
      </c>
      <c r="AK286" s="1" t="s">
        <v>1876</v>
      </c>
      <c r="AL286" s="1" t="s">
        <v>3758</v>
      </c>
      <c r="AM286" s="1" t="s">
        <v>1877</v>
      </c>
      <c r="AN286" s="1" t="s">
        <v>48</v>
      </c>
      <c r="AO286" s="1" t="s">
        <v>48</v>
      </c>
      <c r="AP286" s="1" t="s">
        <v>48</v>
      </c>
      <c r="AQ286" s="1" t="s">
        <v>48</v>
      </c>
      <c r="AR286" s="1" t="s">
        <v>10610</v>
      </c>
    </row>
    <row r="287" spans="1:44" x14ac:dyDescent="0.45">
      <c r="A287" s="1" t="s">
        <v>10182</v>
      </c>
      <c r="B287" s="1" t="s">
        <v>10183</v>
      </c>
      <c r="C287" s="1" t="s">
        <v>4223</v>
      </c>
      <c r="D287" s="1" t="s">
        <v>52</v>
      </c>
      <c r="E287" s="1" t="s">
        <v>53</v>
      </c>
      <c r="F287" s="1" t="s">
        <v>10184</v>
      </c>
      <c r="G287" s="1" t="s">
        <v>10185</v>
      </c>
      <c r="H287" s="1" t="s">
        <v>10186</v>
      </c>
      <c r="I287" s="1">
        <v>29</v>
      </c>
      <c r="J287" s="1">
        <v>2</v>
      </c>
      <c r="K287" s="1">
        <v>0</v>
      </c>
      <c r="L287" s="1">
        <v>5</v>
      </c>
      <c r="M287" s="1" t="s">
        <v>748</v>
      </c>
      <c r="N287" s="1" t="s">
        <v>749</v>
      </c>
      <c r="O287" s="1" t="s">
        <v>750</v>
      </c>
      <c r="P287" s="1" t="s">
        <v>4227</v>
      </c>
      <c r="Q287" s="1" t="s">
        <v>4228</v>
      </c>
      <c r="R287" s="1" t="s">
        <v>48</v>
      </c>
      <c r="S287" s="1" t="s">
        <v>4229</v>
      </c>
      <c r="T287" s="1" t="s">
        <v>4230</v>
      </c>
      <c r="U287" s="1" t="s">
        <v>598</v>
      </c>
      <c r="V287" s="1">
        <v>2021</v>
      </c>
      <c r="W287" s="1">
        <v>18</v>
      </c>
      <c r="X287" s="1">
        <v>9</v>
      </c>
      <c r="Y287" s="1" t="s">
        <v>48</v>
      </c>
      <c r="Z287" s="1" t="s">
        <v>48</v>
      </c>
      <c r="AA287" s="1" t="s">
        <v>48</v>
      </c>
      <c r="AB287" s="1" t="s">
        <v>48</v>
      </c>
      <c r="AC287" s="1" t="s">
        <v>48</v>
      </c>
      <c r="AD287" s="1" t="s">
        <v>48</v>
      </c>
      <c r="AE287" s="1">
        <v>2150139</v>
      </c>
      <c r="AF287" s="1" t="s">
        <v>10187</v>
      </c>
      <c r="AG287" s="1" t="str">
        <f>HYPERLINK("http://dx.doi.org/10.1142/S0219887821501395","http://dx.doi.org/10.1142/S0219887821501395")</f>
        <v>http://dx.doi.org/10.1142/S0219887821501395</v>
      </c>
      <c r="AH287" s="1" t="s">
        <v>48</v>
      </c>
      <c r="AI287" s="1" t="s">
        <v>48</v>
      </c>
      <c r="AJ287" s="1">
        <v>14</v>
      </c>
      <c r="AK287" s="1" t="s">
        <v>4232</v>
      </c>
      <c r="AL287" s="1" t="s">
        <v>67</v>
      </c>
      <c r="AM287" s="1" t="s">
        <v>670</v>
      </c>
      <c r="AN287" s="1" t="s">
        <v>48</v>
      </c>
      <c r="AO287" s="1" t="s">
        <v>2074</v>
      </c>
      <c r="AP287" s="1" t="s">
        <v>48</v>
      </c>
      <c r="AQ287" s="1" t="s">
        <v>48</v>
      </c>
      <c r="AR287" s="1" t="s">
        <v>10610</v>
      </c>
    </row>
    <row r="288" spans="1:44" x14ac:dyDescent="0.45">
      <c r="A288" s="1" t="s">
        <v>10227</v>
      </c>
      <c r="B288" s="1" t="s">
        <v>10228</v>
      </c>
      <c r="C288" s="1" t="s">
        <v>979</v>
      </c>
      <c r="D288" s="1" t="s">
        <v>52</v>
      </c>
      <c r="E288" s="1" t="s">
        <v>53</v>
      </c>
      <c r="F288" s="1" t="s">
        <v>10229</v>
      </c>
      <c r="G288" s="1" t="s">
        <v>10230</v>
      </c>
      <c r="H288" s="1" t="s">
        <v>3301</v>
      </c>
      <c r="I288" s="1">
        <v>79</v>
      </c>
      <c r="J288" s="1">
        <v>13</v>
      </c>
      <c r="K288" s="1">
        <v>5</v>
      </c>
      <c r="L288" s="1">
        <v>46</v>
      </c>
      <c r="M288" s="1" t="s">
        <v>198</v>
      </c>
      <c r="N288" s="1" t="s">
        <v>146</v>
      </c>
      <c r="O288" s="1" t="s">
        <v>199</v>
      </c>
      <c r="P288" s="1" t="s">
        <v>982</v>
      </c>
      <c r="Q288" s="1" t="s">
        <v>983</v>
      </c>
      <c r="R288" s="1" t="s">
        <v>48</v>
      </c>
      <c r="S288" s="1" t="s">
        <v>984</v>
      </c>
      <c r="T288" s="1" t="s">
        <v>985</v>
      </c>
      <c r="U288" s="1" t="s">
        <v>986</v>
      </c>
      <c r="V288" s="1">
        <v>2022</v>
      </c>
      <c r="W288" s="1">
        <v>37</v>
      </c>
      <c r="X288" s="1">
        <v>25</v>
      </c>
      <c r="Y288" s="1" t="s">
        <v>48</v>
      </c>
      <c r="Z288" s="1" t="s">
        <v>48</v>
      </c>
      <c r="AA288" s="1" t="s">
        <v>48</v>
      </c>
      <c r="AB288" s="1" t="s">
        <v>48</v>
      </c>
      <c r="AC288" s="1">
        <v>7983</v>
      </c>
      <c r="AD288" s="1">
        <v>8003</v>
      </c>
      <c r="AE288" s="1" t="s">
        <v>48</v>
      </c>
      <c r="AF288" s="1" t="s">
        <v>10231</v>
      </c>
      <c r="AG288" s="1" t="str">
        <f>HYPERLINK("http://dx.doi.org/10.1080/10106049.2021.1989499","http://dx.doi.org/10.1080/10106049.2021.1989499")</f>
        <v>http://dx.doi.org/10.1080/10106049.2021.1989499</v>
      </c>
      <c r="AH288" s="1" t="s">
        <v>48</v>
      </c>
      <c r="AI288" s="1" t="s">
        <v>10615</v>
      </c>
      <c r="AJ288" s="1">
        <v>21</v>
      </c>
      <c r="AK288" s="1" t="s">
        <v>988</v>
      </c>
      <c r="AL288" s="1" t="s">
        <v>67</v>
      </c>
      <c r="AM288" s="1" t="s">
        <v>989</v>
      </c>
      <c r="AN288" s="1" t="s">
        <v>48</v>
      </c>
      <c r="AO288" s="1" t="s">
        <v>48</v>
      </c>
      <c r="AP288" s="1" t="s">
        <v>48</v>
      </c>
      <c r="AQ288" s="1" t="s">
        <v>48</v>
      </c>
      <c r="AR288" s="1" t="s">
        <v>10610</v>
      </c>
    </row>
    <row r="289" spans="1:44" x14ac:dyDescent="0.45">
      <c r="A289" s="1" t="s">
        <v>10216</v>
      </c>
      <c r="B289" s="1" t="s">
        <v>10217</v>
      </c>
      <c r="C289" s="1" t="s">
        <v>369</v>
      </c>
      <c r="D289" s="1" t="s">
        <v>52</v>
      </c>
      <c r="E289" s="1" t="s">
        <v>53</v>
      </c>
      <c r="F289" s="1" t="s">
        <v>10218</v>
      </c>
      <c r="G289" s="1" t="s">
        <v>10219</v>
      </c>
      <c r="H289" s="1" t="s">
        <v>10220</v>
      </c>
      <c r="I289" s="1">
        <v>32</v>
      </c>
      <c r="J289" s="1">
        <v>0</v>
      </c>
      <c r="K289" s="1">
        <v>0</v>
      </c>
      <c r="L289" s="1">
        <v>1</v>
      </c>
      <c r="M289" s="1" t="s">
        <v>371</v>
      </c>
      <c r="N289" s="1" t="s">
        <v>372</v>
      </c>
      <c r="O289" s="1" t="s">
        <v>373</v>
      </c>
      <c r="P289" s="1" t="s">
        <v>374</v>
      </c>
      <c r="Q289" s="1" t="s">
        <v>48</v>
      </c>
      <c r="R289" s="1" t="s">
        <v>48</v>
      </c>
      <c r="S289" s="1" t="s">
        <v>375</v>
      </c>
      <c r="T289" s="1" t="s">
        <v>376</v>
      </c>
      <c r="U289" s="1" t="s">
        <v>48</v>
      </c>
      <c r="V289" s="1">
        <v>2021</v>
      </c>
      <c r="W289" s="1">
        <v>11</v>
      </c>
      <c r="X289" s="1">
        <v>4</v>
      </c>
      <c r="Y289" s="1" t="s">
        <v>48</v>
      </c>
      <c r="Z289" s="1" t="s">
        <v>48</v>
      </c>
      <c r="AA289" s="1" t="s">
        <v>48</v>
      </c>
      <c r="AB289" s="1" t="s">
        <v>48</v>
      </c>
      <c r="AC289" s="1">
        <v>998</v>
      </c>
      <c r="AD289" s="1">
        <v>1011</v>
      </c>
      <c r="AE289" s="1" t="s">
        <v>48</v>
      </c>
      <c r="AF289" s="1" t="s">
        <v>48</v>
      </c>
      <c r="AG289" s="1" t="s">
        <v>48</v>
      </c>
      <c r="AH289" s="1" t="s">
        <v>48</v>
      </c>
      <c r="AI289" s="1" t="s">
        <v>48</v>
      </c>
      <c r="AJ289" s="1">
        <v>14</v>
      </c>
      <c r="AK289" s="1" t="s">
        <v>260</v>
      </c>
      <c r="AL289" s="1" t="s">
        <v>124</v>
      </c>
      <c r="AM289" s="1" t="s">
        <v>137</v>
      </c>
      <c r="AN289" s="1" t="s">
        <v>48</v>
      </c>
      <c r="AO289" s="1" t="s">
        <v>48</v>
      </c>
      <c r="AP289" s="1" t="s">
        <v>48</v>
      </c>
      <c r="AQ289" s="1" t="s">
        <v>48</v>
      </c>
      <c r="AR289" s="1" t="s">
        <v>10610</v>
      </c>
    </row>
    <row r="290" spans="1:44" x14ac:dyDescent="0.45">
      <c r="A290" s="1" t="s">
        <v>10188</v>
      </c>
      <c r="B290" s="1" t="s">
        <v>10189</v>
      </c>
      <c r="C290" s="1" t="s">
        <v>9932</v>
      </c>
      <c r="D290" s="1" t="s">
        <v>52</v>
      </c>
      <c r="E290" s="1" t="s">
        <v>53</v>
      </c>
      <c r="F290" s="1" t="s">
        <v>10190</v>
      </c>
      <c r="G290" s="1" t="s">
        <v>10092</v>
      </c>
      <c r="H290" s="1" t="s">
        <v>10191</v>
      </c>
      <c r="I290" s="1">
        <v>47</v>
      </c>
      <c r="J290" s="1">
        <v>10</v>
      </c>
      <c r="K290" s="1">
        <v>0</v>
      </c>
      <c r="L290" s="1">
        <v>2</v>
      </c>
      <c r="M290" s="1" t="s">
        <v>2283</v>
      </c>
      <c r="N290" s="1" t="s">
        <v>632</v>
      </c>
      <c r="O290" s="1" t="s">
        <v>2284</v>
      </c>
      <c r="P290" s="1" t="s">
        <v>9936</v>
      </c>
      <c r="Q290" s="1" t="s">
        <v>9937</v>
      </c>
      <c r="R290" s="1" t="s">
        <v>48</v>
      </c>
      <c r="S290" s="1" t="s">
        <v>9938</v>
      </c>
      <c r="T290" s="1" t="s">
        <v>9939</v>
      </c>
      <c r="U290" s="1" t="s">
        <v>10651</v>
      </c>
      <c r="V290" s="1">
        <v>2021</v>
      </c>
      <c r="W290" s="1">
        <v>2021</v>
      </c>
      <c r="X290" s="1" t="s">
        <v>48</v>
      </c>
      <c r="Y290" s="1" t="s">
        <v>48</v>
      </c>
      <c r="Z290" s="1" t="s">
        <v>48</v>
      </c>
      <c r="AA290" s="1" t="s">
        <v>48</v>
      </c>
      <c r="AB290" s="1" t="s">
        <v>48</v>
      </c>
      <c r="AC290" s="1" t="s">
        <v>48</v>
      </c>
      <c r="AD290" s="1" t="s">
        <v>48</v>
      </c>
      <c r="AE290" s="1">
        <v>9937828</v>
      </c>
      <c r="AF290" s="1" t="s">
        <v>10192</v>
      </c>
      <c r="AG290" s="1" t="str">
        <f>HYPERLINK("http://dx.doi.org/10.1155/2021/9937828","http://dx.doi.org/10.1155/2021/9937828")</f>
        <v>http://dx.doi.org/10.1155/2021/9937828</v>
      </c>
      <c r="AH290" s="1" t="s">
        <v>48</v>
      </c>
      <c r="AI290" s="1" t="s">
        <v>48</v>
      </c>
      <c r="AJ290" s="1">
        <v>16</v>
      </c>
      <c r="AK290" s="1" t="s">
        <v>1248</v>
      </c>
      <c r="AL290" s="1" t="s">
        <v>67</v>
      </c>
      <c r="AM290" s="1" t="s">
        <v>1249</v>
      </c>
      <c r="AN290" s="1" t="s">
        <v>48</v>
      </c>
      <c r="AO290" s="1" t="s">
        <v>125</v>
      </c>
      <c r="AP290" s="1" t="s">
        <v>48</v>
      </c>
      <c r="AQ290" s="1" t="s">
        <v>48</v>
      </c>
      <c r="AR290" s="1" t="s">
        <v>10610</v>
      </c>
    </row>
    <row r="291" spans="1:44" x14ac:dyDescent="0.45">
      <c r="A291" s="1" t="s">
        <v>10193</v>
      </c>
      <c r="B291" s="1" t="s">
        <v>10194</v>
      </c>
      <c r="C291" s="1" t="s">
        <v>2205</v>
      </c>
      <c r="D291" s="1" t="s">
        <v>52</v>
      </c>
      <c r="E291" s="1" t="s">
        <v>53</v>
      </c>
      <c r="F291" s="1" t="s">
        <v>10195</v>
      </c>
      <c r="G291" s="1" t="s">
        <v>6709</v>
      </c>
      <c r="H291" s="1" t="s">
        <v>10196</v>
      </c>
      <c r="I291" s="1">
        <v>45</v>
      </c>
      <c r="J291" s="1">
        <v>23</v>
      </c>
      <c r="K291" s="1">
        <v>2</v>
      </c>
      <c r="L291" s="1">
        <v>26</v>
      </c>
      <c r="M291" s="1" t="s">
        <v>503</v>
      </c>
      <c r="N291" s="1" t="s">
        <v>504</v>
      </c>
      <c r="O291" s="1" t="s">
        <v>505</v>
      </c>
      <c r="P291" s="1" t="s">
        <v>2207</v>
      </c>
      <c r="Q291" s="1" t="s">
        <v>2208</v>
      </c>
      <c r="R291" s="1" t="s">
        <v>48</v>
      </c>
      <c r="S291" s="1" t="s">
        <v>2209</v>
      </c>
      <c r="T291" s="1" t="s">
        <v>2210</v>
      </c>
      <c r="U291" s="1" t="s">
        <v>243</v>
      </c>
      <c r="V291" s="1">
        <v>2021</v>
      </c>
      <c r="W291" s="1">
        <v>49</v>
      </c>
      <c r="X291" s="1">
        <v>6</v>
      </c>
      <c r="Y291" s="1" t="s">
        <v>48</v>
      </c>
      <c r="Z291" s="1" t="s">
        <v>48</v>
      </c>
      <c r="AA291" s="1" t="s">
        <v>48</v>
      </c>
      <c r="AB291" s="1" t="s">
        <v>48</v>
      </c>
      <c r="AC291" s="1">
        <v>1365</v>
      </c>
      <c r="AD291" s="1">
        <v>1377</v>
      </c>
      <c r="AE291" s="1" t="s">
        <v>48</v>
      </c>
      <c r="AF291" s="1" t="s">
        <v>10197</v>
      </c>
      <c r="AG291" s="1" t="str">
        <f>HYPERLINK("http://dx.doi.org/10.1007/s12524-021-01306-9","http://dx.doi.org/10.1007/s12524-021-01306-9")</f>
        <v>http://dx.doi.org/10.1007/s12524-021-01306-9</v>
      </c>
      <c r="AH291" s="1" t="s">
        <v>48</v>
      </c>
      <c r="AI291" s="1" t="s">
        <v>10617</v>
      </c>
      <c r="AJ291" s="1">
        <v>13</v>
      </c>
      <c r="AK291" s="1" t="s">
        <v>1896</v>
      </c>
      <c r="AL291" s="1" t="s">
        <v>67</v>
      </c>
      <c r="AM291" s="1" t="s">
        <v>1897</v>
      </c>
      <c r="AN291" s="1" t="s">
        <v>48</v>
      </c>
      <c r="AO291" s="1" t="s">
        <v>48</v>
      </c>
      <c r="AP291" s="1" t="s">
        <v>48</v>
      </c>
      <c r="AQ291" s="1" t="s">
        <v>48</v>
      </c>
      <c r="AR291" s="1" t="s">
        <v>10610</v>
      </c>
    </row>
    <row r="292" spans="1:44" x14ac:dyDescent="0.45">
      <c r="A292" s="1" t="s">
        <v>10198</v>
      </c>
      <c r="B292" s="1" t="s">
        <v>10199</v>
      </c>
      <c r="C292" s="1" t="s">
        <v>571</v>
      </c>
      <c r="D292" s="1" t="s">
        <v>52</v>
      </c>
      <c r="E292" s="1" t="s">
        <v>53</v>
      </c>
      <c r="F292" s="1" t="s">
        <v>10200</v>
      </c>
      <c r="G292" s="1" t="s">
        <v>10201</v>
      </c>
      <c r="H292" s="1" t="s">
        <v>227</v>
      </c>
      <c r="I292" s="1">
        <v>39</v>
      </c>
      <c r="J292" s="1">
        <v>35</v>
      </c>
      <c r="K292" s="1">
        <v>1</v>
      </c>
      <c r="L292" s="1">
        <v>8</v>
      </c>
      <c r="M292" s="1" t="s">
        <v>572</v>
      </c>
      <c r="N292" s="1" t="s">
        <v>573</v>
      </c>
      <c r="O292" s="1" t="s">
        <v>574</v>
      </c>
      <c r="P292" s="1" t="s">
        <v>575</v>
      </c>
      <c r="Q292" s="1" t="s">
        <v>576</v>
      </c>
      <c r="R292" s="1" t="s">
        <v>48</v>
      </c>
      <c r="S292" s="1" t="s">
        <v>577</v>
      </c>
      <c r="T292" s="1" t="s">
        <v>578</v>
      </c>
      <c r="U292" s="1" t="s">
        <v>10622</v>
      </c>
      <c r="V292" s="1">
        <v>2021</v>
      </c>
      <c r="W292" s="1">
        <v>55</v>
      </c>
      <c r="X292" s="1" t="s">
        <v>48</v>
      </c>
      <c r="Y292" s="1" t="s">
        <v>48</v>
      </c>
      <c r="Z292" s="1" t="s">
        <v>1913</v>
      </c>
      <c r="AA292" s="1" t="s">
        <v>48</v>
      </c>
      <c r="AB292" s="1" t="s">
        <v>48</v>
      </c>
      <c r="AC292" s="1" t="s">
        <v>10202</v>
      </c>
      <c r="AD292" s="1" t="s">
        <v>10203</v>
      </c>
      <c r="AE292" s="1" t="s">
        <v>48</v>
      </c>
      <c r="AF292" s="1" t="s">
        <v>10204</v>
      </c>
      <c r="AG292" s="1" t="str">
        <f>HYPERLINK("http://dx.doi.org/10.1051/ro/2020108","http://dx.doi.org/10.1051/ro/2020108")</f>
        <v>http://dx.doi.org/10.1051/ro/2020108</v>
      </c>
      <c r="AH292" s="1" t="s">
        <v>48</v>
      </c>
      <c r="AI292" s="1" t="s">
        <v>48</v>
      </c>
      <c r="AJ292" s="1">
        <v>18</v>
      </c>
      <c r="AK292" s="1" t="s">
        <v>580</v>
      </c>
      <c r="AL292" s="1" t="s">
        <v>67</v>
      </c>
      <c r="AM292" s="1" t="s">
        <v>580</v>
      </c>
      <c r="AN292" s="1" t="s">
        <v>48</v>
      </c>
      <c r="AO292" s="1" t="s">
        <v>8933</v>
      </c>
      <c r="AP292" s="1" t="s">
        <v>48</v>
      </c>
      <c r="AQ292" s="1" t="s">
        <v>48</v>
      </c>
      <c r="AR292" s="1" t="s">
        <v>10610</v>
      </c>
    </row>
    <row r="293" spans="1:44" x14ac:dyDescent="0.45">
      <c r="A293" s="1" t="s">
        <v>10205</v>
      </c>
      <c r="B293" s="1" t="s">
        <v>10206</v>
      </c>
      <c r="C293" s="1" t="s">
        <v>10207</v>
      </c>
      <c r="D293" s="1" t="s">
        <v>52</v>
      </c>
      <c r="E293" s="1" t="s">
        <v>3114</v>
      </c>
      <c r="F293" s="1" t="s">
        <v>10208</v>
      </c>
      <c r="G293" s="1" t="s">
        <v>10209</v>
      </c>
      <c r="H293" s="1" t="s">
        <v>9935</v>
      </c>
      <c r="I293" s="1">
        <v>36</v>
      </c>
      <c r="J293" s="1">
        <v>0</v>
      </c>
      <c r="K293" s="1">
        <v>0</v>
      </c>
      <c r="L293" s="1">
        <v>2</v>
      </c>
      <c r="M293" s="1" t="s">
        <v>5783</v>
      </c>
      <c r="N293" s="1" t="s">
        <v>632</v>
      </c>
      <c r="O293" s="1" t="s">
        <v>5784</v>
      </c>
      <c r="P293" s="1" t="s">
        <v>10210</v>
      </c>
      <c r="Q293" s="1" t="s">
        <v>10211</v>
      </c>
      <c r="R293" s="1" t="s">
        <v>48</v>
      </c>
      <c r="S293" s="1" t="s">
        <v>10212</v>
      </c>
      <c r="T293" s="1" t="s">
        <v>10213</v>
      </c>
      <c r="U293" s="1" t="s">
        <v>7138</v>
      </c>
      <c r="V293" s="1">
        <v>2021</v>
      </c>
      <c r="W293" s="1">
        <v>2021</v>
      </c>
      <c r="X293" s="1" t="s">
        <v>48</v>
      </c>
      <c r="Y293" s="1" t="s">
        <v>48</v>
      </c>
      <c r="Z293" s="1" t="s">
        <v>48</v>
      </c>
      <c r="AA293" s="1" t="s">
        <v>48</v>
      </c>
      <c r="AB293" s="1" t="s">
        <v>48</v>
      </c>
      <c r="AC293" s="1" t="s">
        <v>48</v>
      </c>
      <c r="AD293" s="1" t="s">
        <v>48</v>
      </c>
      <c r="AE293" s="1">
        <v>8960437</v>
      </c>
      <c r="AF293" s="1" t="s">
        <v>10214</v>
      </c>
      <c r="AG293" s="1" t="str">
        <f>HYPERLINK("http://dx.doi.org/10.1155/2021/8960437","http://dx.doi.org/10.1155/2021/8960437")</f>
        <v>http://dx.doi.org/10.1155/2021/8960437</v>
      </c>
      <c r="AH293" s="1" t="s">
        <v>48</v>
      </c>
      <c r="AI293" s="1" t="s">
        <v>48</v>
      </c>
      <c r="AJ293" s="1">
        <v>8</v>
      </c>
      <c r="AK293" s="1" t="s">
        <v>10215</v>
      </c>
      <c r="AL293" s="1" t="s">
        <v>67</v>
      </c>
      <c r="AM293" s="1" t="s">
        <v>8556</v>
      </c>
      <c r="AN293" s="1" t="s">
        <v>48</v>
      </c>
      <c r="AO293" s="1" t="s">
        <v>125</v>
      </c>
      <c r="AP293" s="1" t="s">
        <v>48</v>
      </c>
      <c r="AQ293" s="1" t="s">
        <v>48</v>
      </c>
      <c r="AR293" s="1" t="s">
        <v>10610</v>
      </c>
    </row>
    <row r="294" spans="1:44" x14ac:dyDescent="0.45">
      <c r="A294" s="1" t="s">
        <v>10221</v>
      </c>
      <c r="B294" s="1" t="s">
        <v>10222</v>
      </c>
      <c r="C294" s="1" t="s">
        <v>2737</v>
      </c>
      <c r="D294" s="1" t="s">
        <v>52</v>
      </c>
      <c r="E294" s="1" t="s">
        <v>53</v>
      </c>
      <c r="F294" s="1" t="s">
        <v>10223</v>
      </c>
      <c r="G294" s="1" t="s">
        <v>10224</v>
      </c>
      <c r="H294" s="1" t="s">
        <v>10225</v>
      </c>
      <c r="I294" s="1">
        <v>41</v>
      </c>
      <c r="J294" s="1">
        <v>45</v>
      </c>
      <c r="K294" s="1">
        <v>0</v>
      </c>
      <c r="L294" s="1">
        <v>6</v>
      </c>
      <c r="M294" s="1" t="s">
        <v>2741</v>
      </c>
      <c r="N294" s="1" t="s">
        <v>80</v>
      </c>
      <c r="O294" s="1" t="s">
        <v>2742</v>
      </c>
      <c r="P294" s="1" t="s">
        <v>2743</v>
      </c>
      <c r="Q294" s="1" t="s">
        <v>2744</v>
      </c>
      <c r="R294" s="1" t="s">
        <v>48</v>
      </c>
      <c r="S294" s="1" t="s">
        <v>2745</v>
      </c>
      <c r="T294" s="1" t="s">
        <v>2746</v>
      </c>
      <c r="U294" s="1" t="s">
        <v>48</v>
      </c>
      <c r="V294" s="1">
        <v>2021</v>
      </c>
      <c r="W294" s="1">
        <v>40</v>
      </c>
      <c r="X294" s="1">
        <v>1</v>
      </c>
      <c r="Y294" s="1" t="s">
        <v>48</v>
      </c>
      <c r="Z294" s="1" t="s">
        <v>48</v>
      </c>
      <c r="AA294" s="1" t="s">
        <v>48</v>
      </c>
      <c r="AB294" s="1" t="s">
        <v>48</v>
      </c>
      <c r="AC294" s="1">
        <v>89</v>
      </c>
      <c r="AD294" s="1">
        <v>101</v>
      </c>
      <c r="AE294" s="1" t="s">
        <v>48</v>
      </c>
      <c r="AF294" s="1" t="s">
        <v>10226</v>
      </c>
      <c r="AG294" s="1" t="str">
        <f>HYPERLINK("http://dx.doi.org/10.3233/JIFS-182929","http://dx.doi.org/10.3233/JIFS-182929")</f>
        <v>http://dx.doi.org/10.3233/JIFS-182929</v>
      </c>
      <c r="AH294" s="1" t="s">
        <v>48</v>
      </c>
      <c r="AI294" s="1" t="s">
        <v>48</v>
      </c>
      <c r="AJ294" s="1">
        <v>13</v>
      </c>
      <c r="AK294" s="1" t="s">
        <v>549</v>
      </c>
      <c r="AL294" s="1" t="s">
        <v>67</v>
      </c>
      <c r="AM294" s="1" t="s">
        <v>292</v>
      </c>
      <c r="AN294" s="1" t="s">
        <v>48</v>
      </c>
      <c r="AO294" s="1" t="s">
        <v>48</v>
      </c>
      <c r="AP294" s="1" t="s">
        <v>48</v>
      </c>
      <c r="AQ294" s="1" t="s">
        <v>48</v>
      </c>
      <c r="AR294" s="1" t="s">
        <v>10610</v>
      </c>
    </row>
    <row r="295" spans="1:44" x14ac:dyDescent="0.45">
      <c r="A295" s="1" t="s">
        <v>10232</v>
      </c>
      <c r="B295" s="1" t="s">
        <v>10233</v>
      </c>
      <c r="C295" s="1" t="s">
        <v>10234</v>
      </c>
      <c r="D295" s="1" t="s">
        <v>52</v>
      </c>
      <c r="E295" s="1" t="s">
        <v>53</v>
      </c>
      <c r="F295" s="1" t="s">
        <v>10235</v>
      </c>
      <c r="G295" s="1" t="s">
        <v>6764</v>
      </c>
      <c r="H295" s="1" t="s">
        <v>10236</v>
      </c>
      <c r="I295" s="1">
        <v>75</v>
      </c>
      <c r="J295" s="1">
        <v>17</v>
      </c>
      <c r="K295" s="1">
        <v>1</v>
      </c>
      <c r="L295" s="1">
        <v>5</v>
      </c>
      <c r="M295" s="1" t="s">
        <v>10237</v>
      </c>
      <c r="N295" s="1" t="s">
        <v>10238</v>
      </c>
      <c r="O295" s="1" t="s">
        <v>10239</v>
      </c>
      <c r="P295" s="1" t="s">
        <v>10240</v>
      </c>
      <c r="Q295" s="1" t="s">
        <v>48</v>
      </c>
      <c r="R295" s="1" t="s">
        <v>48</v>
      </c>
      <c r="S295" s="1" t="s">
        <v>10241</v>
      </c>
      <c r="T295" s="1" t="s">
        <v>10242</v>
      </c>
      <c r="U295" s="1" t="s">
        <v>86</v>
      </c>
      <c r="V295" s="1">
        <v>2021</v>
      </c>
      <c r="W295" s="1">
        <v>12</v>
      </c>
      <c r="X295" s="1">
        <v>8</v>
      </c>
      <c r="Y295" s="1" t="s">
        <v>48</v>
      </c>
      <c r="Z295" s="1" t="s">
        <v>48</v>
      </c>
      <c r="AA295" s="1" t="s">
        <v>48</v>
      </c>
      <c r="AB295" s="1" t="s">
        <v>48</v>
      </c>
      <c r="AC295" s="1">
        <v>2173</v>
      </c>
      <c r="AD295" s="1">
        <v>2195</v>
      </c>
      <c r="AE295" s="1" t="s">
        <v>48</v>
      </c>
      <c r="AF295" s="1" t="s">
        <v>10243</v>
      </c>
      <c r="AG295" s="1" t="str">
        <f>HYPERLINK("http://dx.doi.org/10.14336/AD.2021.0518","http://dx.doi.org/10.14336/AD.2021.0518")</f>
        <v>http://dx.doi.org/10.14336/AD.2021.0518</v>
      </c>
      <c r="AH295" s="1" t="s">
        <v>48</v>
      </c>
      <c r="AI295" s="1" t="s">
        <v>48</v>
      </c>
      <c r="AJ295" s="1">
        <v>23</v>
      </c>
      <c r="AK295" s="1" t="s">
        <v>2264</v>
      </c>
      <c r="AL295" s="1" t="s">
        <v>67</v>
      </c>
      <c r="AM295" s="1" t="s">
        <v>2264</v>
      </c>
      <c r="AN295" s="1" t="s">
        <v>48</v>
      </c>
      <c r="AO295" s="1" t="s">
        <v>366</v>
      </c>
      <c r="AP295" s="1" t="s">
        <v>48</v>
      </c>
      <c r="AQ295" s="1" t="s">
        <v>48</v>
      </c>
      <c r="AR295" s="1" t="s">
        <v>10610</v>
      </c>
    </row>
    <row r="296" spans="1:44" x14ac:dyDescent="0.45">
      <c r="A296" s="1" t="s">
        <v>10227</v>
      </c>
      <c r="B296" s="1" t="s">
        <v>10244</v>
      </c>
      <c r="C296" s="1" t="s">
        <v>2082</v>
      </c>
      <c r="D296" s="1" t="s">
        <v>52</v>
      </c>
      <c r="E296" s="1" t="s">
        <v>53</v>
      </c>
      <c r="F296" s="1" t="s">
        <v>10245</v>
      </c>
      <c r="G296" s="1" t="s">
        <v>10230</v>
      </c>
      <c r="H296" s="1" t="s">
        <v>10246</v>
      </c>
      <c r="I296" s="1">
        <v>99</v>
      </c>
      <c r="J296" s="1">
        <v>69</v>
      </c>
      <c r="K296" s="1">
        <v>8</v>
      </c>
      <c r="L296" s="1">
        <v>76</v>
      </c>
      <c r="M296" s="1" t="s">
        <v>79</v>
      </c>
      <c r="N296" s="1" t="s">
        <v>80</v>
      </c>
      <c r="O296" s="1" t="s">
        <v>81</v>
      </c>
      <c r="P296" s="1" t="s">
        <v>2085</v>
      </c>
      <c r="Q296" s="1" t="s">
        <v>48</v>
      </c>
      <c r="R296" s="1" t="s">
        <v>48</v>
      </c>
      <c r="S296" s="1" t="s">
        <v>2086</v>
      </c>
      <c r="T296" s="1" t="s">
        <v>2087</v>
      </c>
      <c r="U296" s="1" t="s">
        <v>832</v>
      </c>
      <c r="V296" s="1">
        <v>2021</v>
      </c>
      <c r="W296" s="1">
        <v>37</v>
      </c>
      <c r="X296" s="1" t="s">
        <v>48</v>
      </c>
      <c r="Y296" s="1" t="s">
        <v>48</v>
      </c>
      <c r="Z296" s="1" t="s">
        <v>48</v>
      </c>
      <c r="AA296" s="1" t="s">
        <v>48</v>
      </c>
      <c r="AB296" s="1" t="s">
        <v>48</v>
      </c>
      <c r="AC296" s="1" t="s">
        <v>48</v>
      </c>
      <c r="AD296" s="1" t="s">
        <v>48</v>
      </c>
      <c r="AE296" s="1">
        <v>100799</v>
      </c>
      <c r="AF296" s="1" t="s">
        <v>10247</v>
      </c>
      <c r="AG296" s="1" t="str">
        <f>HYPERLINK("http://dx.doi.org/10.1016/j.uclim.2021.100799","http://dx.doi.org/10.1016/j.uclim.2021.100799")</f>
        <v>http://dx.doi.org/10.1016/j.uclim.2021.100799</v>
      </c>
      <c r="AH296" s="1" t="s">
        <v>48</v>
      </c>
      <c r="AI296" s="1" t="s">
        <v>10618</v>
      </c>
      <c r="AJ296" s="1">
        <v>17</v>
      </c>
      <c r="AK296" s="1" t="s">
        <v>2089</v>
      </c>
      <c r="AL296" s="1" t="s">
        <v>944</v>
      </c>
      <c r="AM296" s="1" t="s">
        <v>2090</v>
      </c>
      <c r="AN296" s="1" t="s">
        <v>48</v>
      </c>
      <c r="AO296" s="1" t="s">
        <v>48</v>
      </c>
      <c r="AP296" s="1" t="s">
        <v>48</v>
      </c>
      <c r="AQ296" s="1" t="s">
        <v>48</v>
      </c>
      <c r="AR296" s="1" t="s">
        <v>10610</v>
      </c>
    </row>
    <row r="297" spans="1:44" x14ac:dyDescent="0.45">
      <c r="A297" s="1" t="s">
        <v>10248</v>
      </c>
      <c r="B297" s="1" t="s">
        <v>10249</v>
      </c>
      <c r="C297" s="1" t="s">
        <v>7541</v>
      </c>
      <c r="D297" s="1" t="s">
        <v>52</v>
      </c>
      <c r="E297" s="1" t="s">
        <v>53</v>
      </c>
      <c r="F297" s="1" t="s">
        <v>10250</v>
      </c>
      <c r="G297" s="1" t="s">
        <v>10251</v>
      </c>
      <c r="H297" s="1" t="s">
        <v>10252</v>
      </c>
      <c r="I297" s="1">
        <v>38</v>
      </c>
      <c r="J297" s="1">
        <v>0</v>
      </c>
      <c r="K297" s="1">
        <v>0</v>
      </c>
      <c r="L297" s="1">
        <v>6</v>
      </c>
      <c r="M297" s="1" t="s">
        <v>79</v>
      </c>
      <c r="N297" s="1" t="s">
        <v>80</v>
      </c>
      <c r="O297" s="1" t="s">
        <v>81</v>
      </c>
      <c r="P297" s="1" t="s">
        <v>7548</v>
      </c>
      <c r="Q297" s="1" t="s">
        <v>7549</v>
      </c>
      <c r="R297" s="1" t="s">
        <v>48</v>
      </c>
      <c r="S297" s="1" t="s">
        <v>7550</v>
      </c>
      <c r="T297" s="1" t="s">
        <v>7551</v>
      </c>
      <c r="U297" s="1" t="s">
        <v>911</v>
      </c>
      <c r="V297" s="1">
        <v>2021</v>
      </c>
      <c r="W297" s="1">
        <v>126</v>
      </c>
      <c r="X297" s="1" t="s">
        <v>48</v>
      </c>
      <c r="Y297" s="1" t="s">
        <v>48</v>
      </c>
      <c r="Z297" s="1" t="s">
        <v>48</v>
      </c>
      <c r="AA297" s="1" t="s">
        <v>48</v>
      </c>
      <c r="AB297" s="1" t="s">
        <v>48</v>
      </c>
      <c r="AC297" s="1" t="s">
        <v>48</v>
      </c>
      <c r="AD297" s="1" t="s">
        <v>48</v>
      </c>
      <c r="AE297" s="1">
        <v>108479</v>
      </c>
      <c r="AF297" s="1" t="s">
        <v>10253</v>
      </c>
      <c r="AG297" s="1" t="str">
        <f>HYPERLINK("http://dx.doi.org/10.1016/j.inoche.2021.108479","http://dx.doi.org/10.1016/j.inoche.2021.108479")</f>
        <v>http://dx.doi.org/10.1016/j.inoche.2021.108479</v>
      </c>
      <c r="AH297" s="1" t="s">
        <v>48</v>
      </c>
      <c r="AI297" s="1" t="s">
        <v>10617</v>
      </c>
      <c r="AJ297" s="1">
        <v>12</v>
      </c>
      <c r="AK297" s="1" t="s">
        <v>4434</v>
      </c>
      <c r="AL297" s="1" t="s">
        <v>67</v>
      </c>
      <c r="AM297" s="1" t="s">
        <v>2293</v>
      </c>
      <c r="AN297" s="1" t="s">
        <v>48</v>
      </c>
      <c r="AO297" s="1" t="s">
        <v>48</v>
      </c>
      <c r="AP297" s="1" t="s">
        <v>48</v>
      </c>
      <c r="AQ297" s="1" t="s">
        <v>48</v>
      </c>
      <c r="AR297" s="1" t="s">
        <v>10610</v>
      </c>
    </row>
    <row r="298" spans="1:44" x14ac:dyDescent="0.45">
      <c r="A298" s="1" t="s">
        <v>10254</v>
      </c>
      <c r="B298" s="1" t="s">
        <v>10255</v>
      </c>
      <c r="C298" s="1" t="s">
        <v>7333</v>
      </c>
      <c r="D298" s="1" t="s">
        <v>52</v>
      </c>
      <c r="E298" s="1" t="s">
        <v>53</v>
      </c>
      <c r="F298" s="1" t="s">
        <v>10256</v>
      </c>
      <c r="G298" s="1" t="s">
        <v>10257</v>
      </c>
      <c r="H298" s="1" t="s">
        <v>7799</v>
      </c>
      <c r="I298" s="1">
        <v>61</v>
      </c>
      <c r="J298" s="1">
        <v>3</v>
      </c>
      <c r="K298" s="1">
        <v>2</v>
      </c>
      <c r="L298" s="1">
        <v>18</v>
      </c>
      <c r="M298" s="1" t="s">
        <v>7339</v>
      </c>
      <c r="N298" s="1" t="s">
        <v>7340</v>
      </c>
      <c r="O298" s="1" t="s">
        <v>7341</v>
      </c>
      <c r="P298" s="1" t="s">
        <v>7342</v>
      </c>
      <c r="Q298" s="1" t="s">
        <v>7343</v>
      </c>
      <c r="R298" s="1" t="s">
        <v>48</v>
      </c>
      <c r="S298" s="1" t="s">
        <v>7344</v>
      </c>
      <c r="T298" s="1" t="s">
        <v>7345</v>
      </c>
      <c r="U298" s="1" t="s">
        <v>48</v>
      </c>
      <c r="V298" s="1">
        <v>2021</v>
      </c>
      <c r="W298" s="1">
        <v>70</v>
      </c>
      <c r="X298" s="1">
        <v>2</v>
      </c>
      <c r="Y298" s="1" t="s">
        <v>48</v>
      </c>
      <c r="Z298" s="1" t="s">
        <v>48</v>
      </c>
      <c r="AA298" s="1" t="s">
        <v>48</v>
      </c>
      <c r="AB298" s="1" t="s">
        <v>48</v>
      </c>
      <c r="AC298" s="1">
        <v>185</v>
      </c>
      <c r="AD298" s="1">
        <v>194</v>
      </c>
      <c r="AE298" s="1" t="s">
        <v>48</v>
      </c>
      <c r="AF298" s="1" t="s">
        <v>10258</v>
      </c>
      <c r="AG298" s="1" t="str">
        <f>HYPERLINK("http://dx.doi.org/10.5650/jos.ess20303","http://dx.doi.org/10.5650/jos.ess20303")</f>
        <v>http://dx.doi.org/10.5650/jos.ess20303</v>
      </c>
      <c r="AH298" s="1" t="s">
        <v>48</v>
      </c>
      <c r="AI298" s="1" t="s">
        <v>48</v>
      </c>
      <c r="AJ298" s="1">
        <v>10</v>
      </c>
      <c r="AK298" s="1" t="s">
        <v>7347</v>
      </c>
      <c r="AL298" s="1" t="s">
        <v>67</v>
      </c>
      <c r="AM298" s="1" t="s">
        <v>7348</v>
      </c>
      <c r="AN298" s="1">
        <v>33456012</v>
      </c>
      <c r="AO298" s="1" t="s">
        <v>125</v>
      </c>
      <c r="AP298" s="1" t="s">
        <v>48</v>
      </c>
      <c r="AQ298" s="1" t="s">
        <v>48</v>
      </c>
      <c r="AR298" s="1" t="s">
        <v>10610</v>
      </c>
    </row>
    <row r="299" spans="1:44" x14ac:dyDescent="0.45">
      <c r="A299" s="1" t="s">
        <v>10269</v>
      </c>
      <c r="B299" s="1" t="s">
        <v>10270</v>
      </c>
      <c r="C299" s="1" t="s">
        <v>3470</v>
      </c>
      <c r="D299" s="1" t="s">
        <v>52</v>
      </c>
      <c r="E299" s="1" t="s">
        <v>53</v>
      </c>
      <c r="F299" s="1" t="s">
        <v>10271</v>
      </c>
      <c r="G299" s="1" t="s">
        <v>10272</v>
      </c>
      <c r="H299" s="1" t="s">
        <v>10273</v>
      </c>
      <c r="I299" s="1">
        <v>77</v>
      </c>
      <c r="J299" s="1">
        <v>3</v>
      </c>
      <c r="K299" s="1">
        <v>0</v>
      </c>
      <c r="L299" s="1">
        <v>15</v>
      </c>
      <c r="M299" s="1" t="s">
        <v>2989</v>
      </c>
      <c r="N299" s="1" t="s">
        <v>2990</v>
      </c>
      <c r="O299" s="1" t="s">
        <v>2991</v>
      </c>
      <c r="P299" s="1" t="s">
        <v>3477</v>
      </c>
      <c r="Q299" s="1" t="s">
        <v>48</v>
      </c>
      <c r="R299" s="1" t="s">
        <v>48</v>
      </c>
      <c r="S299" s="1" t="s">
        <v>3470</v>
      </c>
      <c r="T299" s="1" t="s">
        <v>3478</v>
      </c>
      <c r="U299" s="1" t="s">
        <v>1188</v>
      </c>
      <c r="V299" s="1">
        <v>2021</v>
      </c>
      <c r="W299" s="1">
        <v>6</v>
      </c>
      <c r="X299" s="1">
        <v>34</v>
      </c>
      <c r="Y299" s="1" t="s">
        <v>48</v>
      </c>
      <c r="Z299" s="1" t="s">
        <v>48</v>
      </c>
      <c r="AA299" s="1" t="s">
        <v>48</v>
      </c>
      <c r="AB299" s="1" t="s">
        <v>48</v>
      </c>
      <c r="AC299" s="1">
        <v>8950</v>
      </c>
      <c r="AD299" s="1">
        <v>8958</v>
      </c>
      <c r="AE299" s="1" t="s">
        <v>48</v>
      </c>
      <c r="AF299" s="1" t="s">
        <v>10274</v>
      </c>
      <c r="AG299" s="1" t="str">
        <f>HYPERLINK("http://dx.doi.org/10.1002/slct.202102197","http://dx.doi.org/10.1002/slct.202102197")</f>
        <v>http://dx.doi.org/10.1002/slct.202102197</v>
      </c>
      <c r="AH299" s="1" t="s">
        <v>48</v>
      </c>
      <c r="AI299" s="1" t="s">
        <v>48</v>
      </c>
      <c r="AJ299" s="1">
        <v>9</v>
      </c>
      <c r="AK299" s="1" t="s">
        <v>2292</v>
      </c>
      <c r="AL299" s="1" t="s">
        <v>67</v>
      </c>
      <c r="AM299" s="1" t="s">
        <v>2293</v>
      </c>
      <c r="AN299" s="1" t="s">
        <v>48</v>
      </c>
      <c r="AO299" s="1" t="s">
        <v>48</v>
      </c>
      <c r="AP299" s="1" t="s">
        <v>48</v>
      </c>
      <c r="AQ299" s="1" t="s">
        <v>48</v>
      </c>
      <c r="AR299" s="1" t="s">
        <v>10610</v>
      </c>
    </row>
    <row r="300" spans="1:44" x14ac:dyDescent="0.45">
      <c r="A300" s="1" t="s">
        <v>10259</v>
      </c>
      <c r="B300" s="1" t="s">
        <v>10260</v>
      </c>
      <c r="C300" s="1" t="s">
        <v>10261</v>
      </c>
      <c r="D300" s="1" t="s">
        <v>52</v>
      </c>
      <c r="E300" s="1" t="s">
        <v>53</v>
      </c>
      <c r="F300" s="1" t="s">
        <v>10262</v>
      </c>
      <c r="G300" s="1" t="s">
        <v>10263</v>
      </c>
      <c r="H300" s="1" t="s">
        <v>10264</v>
      </c>
      <c r="I300" s="1">
        <v>54</v>
      </c>
      <c r="J300" s="1">
        <v>4</v>
      </c>
      <c r="K300" s="1">
        <v>0</v>
      </c>
      <c r="L300" s="1">
        <v>0</v>
      </c>
      <c r="M300" s="1" t="s">
        <v>347</v>
      </c>
      <c r="N300" s="1" t="s">
        <v>348</v>
      </c>
      <c r="O300" s="1" t="s">
        <v>349</v>
      </c>
      <c r="P300" s="1" t="s">
        <v>10265</v>
      </c>
      <c r="Q300" s="1" t="s">
        <v>10266</v>
      </c>
      <c r="R300" s="1" t="s">
        <v>48</v>
      </c>
      <c r="S300" s="1" t="s">
        <v>10261</v>
      </c>
      <c r="T300" s="1" t="s">
        <v>4643</v>
      </c>
      <c r="U300" s="1" t="s">
        <v>598</v>
      </c>
      <c r="V300" s="1">
        <v>2021</v>
      </c>
      <c r="W300" s="1">
        <v>163</v>
      </c>
      <c r="X300" s="1">
        <v>4</v>
      </c>
      <c r="Y300" s="1" t="s">
        <v>48</v>
      </c>
      <c r="Z300" s="1" t="s">
        <v>48</v>
      </c>
      <c r="AA300" s="1" t="s">
        <v>48</v>
      </c>
      <c r="AB300" s="1" t="s">
        <v>48</v>
      </c>
      <c r="AC300" s="1">
        <v>460</v>
      </c>
      <c r="AD300" s="1">
        <v>477</v>
      </c>
      <c r="AE300" s="1" t="s">
        <v>48</v>
      </c>
      <c r="AF300" s="1" t="s">
        <v>10267</v>
      </c>
      <c r="AG300" s="1" t="str">
        <f>HYPERLINK("http://dx.doi.org/10.1111/imm.13331","http://dx.doi.org/10.1111/imm.13331")</f>
        <v>http://dx.doi.org/10.1111/imm.13331</v>
      </c>
      <c r="AH300" s="1" t="s">
        <v>48</v>
      </c>
      <c r="AI300" s="1" t="s">
        <v>10621</v>
      </c>
      <c r="AJ300" s="1">
        <v>18</v>
      </c>
      <c r="AK300" s="1" t="s">
        <v>4643</v>
      </c>
      <c r="AL300" s="1" t="s">
        <v>67</v>
      </c>
      <c r="AM300" s="1" t="s">
        <v>4643</v>
      </c>
      <c r="AN300" s="1">
        <v>33764520</v>
      </c>
      <c r="AO300" s="1" t="s">
        <v>10268</v>
      </c>
      <c r="AP300" s="1" t="s">
        <v>48</v>
      </c>
      <c r="AQ300" s="1" t="s">
        <v>48</v>
      </c>
      <c r="AR300" s="1" t="s">
        <v>10610</v>
      </c>
    </row>
    <row r="301" spans="1:44" x14ac:dyDescent="0.45">
      <c r="A301" s="1" t="s">
        <v>10275</v>
      </c>
      <c r="B301" s="1" t="s">
        <v>10276</v>
      </c>
      <c r="C301" s="1" t="s">
        <v>10277</v>
      </c>
      <c r="D301" s="1" t="s">
        <v>52</v>
      </c>
      <c r="E301" s="1" t="s">
        <v>53</v>
      </c>
      <c r="F301" s="1" t="s">
        <v>10278</v>
      </c>
      <c r="G301" s="1" t="s">
        <v>10279</v>
      </c>
      <c r="H301" s="1" t="s">
        <v>9764</v>
      </c>
      <c r="I301" s="1">
        <v>28</v>
      </c>
      <c r="J301" s="1">
        <v>9</v>
      </c>
      <c r="K301" s="1">
        <v>0</v>
      </c>
      <c r="L301" s="1">
        <v>1</v>
      </c>
      <c r="M301" s="1" t="s">
        <v>2283</v>
      </c>
      <c r="N301" s="1" t="s">
        <v>632</v>
      </c>
      <c r="O301" s="1" t="s">
        <v>2284</v>
      </c>
      <c r="P301" s="1" t="s">
        <v>10280</v>
      </c>
      <c r="Q301" s="1" t="s">
        <v>10281</v>
      </c>
      <c r="R301" s="1" t="s">
        <v>48</v>
      </c>
      <c r="S301" s="1" t="s">
        <v>10282</v>
      </c>
      <c r="T301" s="1" t="s">
        <v>10283</v>
      </c>
      <c r="U301" s="1" t="s">
        <v>10652</v>
      </c>
      <c r="V301" s="1">
        <v>2021</v>
      </c>
      <c r="W301" s="1">
        <v>2021</v>
      </c>
      <c r="X301" s="1" t="s">
        <v>48</v>
      </c>
      <c r="Y301" s="1" t="s">
        <v>48</v>
      </c>
      <c r="Z301" s="1" t="s">
        <v>48</v>
      </c>
      <c r="AA301" s="1" t="s">
        <v>48</v>
      </c>
      <c r="AB301" s="1" t="s">
        <v>48</v>
      </c>
      <c r="AC301" s="1" t="s">
        <v>48</v>
      </c>
      <c r="AD301" s="1" t="s">
        <v>48</v>
      </c>
      <c r="AE301" s="1">
        <v>5253346</v>
      </c>
      <c r="AF301" s="1" t="s">
        <v>10284</v>
      </c>
      <c r="AG301" s="1" t="str">
        <f>HYPERLINK("http://dx.doi.org/10.1155/2021/5253346","http://dx.doi.org/10.1155/2021/5253346")</f>
        <v>http://dx.doi.org/10.1155/2021/5253346</v>
      </c>
      <c r="AH301" s="1" t="s">
        <v>48</v>
      </c>
      <c r="AI301" s="1" t="s">
        <v>48</v>
      </c>
      <c r="AJ301" s="1">
        <v>7</v>
      </c>
      <c r="AK301" s="1" t="s">
        <v>1041</v>
      </c>
      <c r="AL301" s="1" t="s">
        <v>67</v>
      </c>
      <c r="AM301" s="1" t="s">
        <v>137</v>
      </c>
      <c r="AN301" s="1" t="s">
        <v>48</v>
      </c>
      <c r="AO301" s="1" t="s">
        <v>125</v>
      </c>
      <c r="AP301" s="1" t="s">
        <v>48</v>
      </c>
      <c r="AQ301" s="1" t="s">
        <v>48</v>
      </c>
      <c r="AR301" s="1" t="s">
        <v>10610</v>
      </c>
    </row>
    <row r="302" spans="1:44" x14ac:dyDescent="0.45">
      <c r="A302" s="1" t="s">
        <v>10285</v>
      </c>
      <c r="B302" s="1" t="s">
        <v>10286</v>
      </c>
      <c r="C302" s="1" t="s">
        <v>72</v>
      </c>
      <c r="D302" s="1" t="s">
        <v>52</v>
      </c>
      <c r="E302" s="1" t="s">
        <v>53</v>
      </c>
      <c r="F302" s="1" t="s">
        <v>10287</v>
      </c>
      <c r="G302" s="1" t="s">
        <v>6267</v>
      </c>
      <c r="H302" s="1" t="s">
        <v>10288</v>
      </c>
      <c r="I302" s="1">
        <v>32</v>
      </c>
      <c r="J302" s="1">
        <v>48</v>
      </c>
      <c r="K302" s="1">
        <v>4</v>
      </c>
      <c r="L302" s="1">
        <v>32</v>
      </c>
      <c r="M302" s="1" t="s">
        <v>79</v>
      </c>
      <c r="N302" s="1" t="s">
        <v>80</v>
      </c>
      <c r="O302" s="1" t="s">
        <v>81</v>
      </c>
      <c r="P302" s="1" t="s">
        <v>82</v>
      </c>
      <c r="Q302" s="1" t="s">
        <v>83</v>
      </c>
      <c r="R302" s="1" t="s">
        <v>48</v>
      </c>
      <c r="S302" s="1" t="s">
        <v>84</v>
      </c>
      <c r="T302" s="1" t="s">
        <v>85</v>
      </c>
      <c r="U302" s="1" t="s">
        <v>10642</v>
      </c>
      <c r="V302" s="1">
        <v>2021</v>
      </c>
      <c r="W302" s="1">
        <v>168</v>
      </c>
      <c r="X302" s="1" t="s">
        <v>48</v>
      </c>
      <c r="Y302" s="1" t="s">
        <v>48</v>
      </c>
      <c r="Z302" s="1" t="s">
        <v>48</v>
      </c>
      <c r="AA302" s="1" t="s">
        <v>48</v>
      </c>
      <c r="AB302" s="1" t="s">
        <v>48</v>
      </c>
      <c r="AC302" s="1">
        <v>743</v>
      </c>
      <c r="AD302" s="1">
        <v>749</v>
      </c>
      <c r="AE302" s="1" t="s">
        <v>48</v>
      </c>
      <c r="AF302" s="1" t="s">
        <v>10289</v>
      </c>
      <c r="AG302" s="1" t="str">
        <f>HYPERLINK("http://dx.doi.org/10.1016/j.ijbiomac.2020.11.131","http://dx.doi.org/10.1016/j.ijbiomac.2020.11.131")</f>
        <v>http://dx.doi.org/10.1016/j.ijbiomac.2020.11.131</v>
      </c>
      <c r="AH302" s="1" t="s">
        <v>48</v>
      </c>
      <c r="AI302" s="1" t="s">
        <v>10619</v>
      </c>
      <c r="AJ302" s="1">
        <v>7</v>
      </c>
      <c r="AK302" s="1" t="s">
        <v>88</v>
      </c>
      <c r="AL302" s="1" t="s">
        <v>67</v>
      </c>
      <c r="AM302" s="1" t="s">
        <v>89</v>
      </c>
      <c r="AN302" s="1">
        <v>33232703</v>
      </c>
      <c r="AO302" s="1" t="s">
        <v>48</v>
      </c>
      <c r="AP302" s="1" t="s">
        <v>48</v>
      </c>
      <c r="AQ302" s="1" t="s">
        <v>48</v>
      </c>
      <c r="AR302" s="1" t="s">
        <v>10610</v>
      </c>
    </row>
    <row r="303" spans="1:44" x14ac:dyDescent="0.45">
      <c r="A303" s="1" t="s">
        <v>10290</v>
      </c>
      <c r="B303" s="1" t="s">
        <v>10291</v>
      </c>
      <c r="C303" s="1" t="s">
        <v>10292</v>
      </c>
      <c r="D303" s="1" t="s">
        <v>52</v>
      </c>
      <c r="E303" s="1" t="s">
        <v>53</v>
      </c>
      <c r="F303" s="1" t="s">
        <v>10293</v>
      </c>
      <c r="G303" s="1" t="s">
        <v>10294</v>
      </c>
      <c r="H303" s="1" t="s">
        <v>10295</v>
      </c>
      <c r="I303" s="1">
        <v>38</v>
      </c>
      <c r="J303" s="1">
        <v>12</v>
      </c>
      <c r="K303" s="1">
        <v>1</v>
      </c>
      <c r="L303" s="1">
        <v>7</v>
      </c>
      <c r="M303" s="1" t="s">
        <v>252</v>
      </c>
      <c r="N303" s="1" t="s">
        <v>253</v>
      </c>
      <c r="O303" s="1" t="s">
        <v>254</v>
      </c>
      <c r="P303" s="1" t="s">
        <v>10296</v>
      </c>
      <c r="Q303" s="1" t="s">
        <v>48</v>
      </c>
      <c r="R303" s="1" t="s">
        <v>48</v>
      </c>
      <c r="S303" s="1" t="s">
        <v>10297</v>
      </c>
      <c r="T303" s="1" t="s">
        <v>10298</v>
      </c>
      <c r="U303" s="1" t="s">
        <v>243</v>
      </c>
      <c r="V303" s="1">
        <v>2021</v>
      </c>
      <c r="W303" s="1">
        <v>6</v>
      </c>
      <c r="X303" s="1">
        <v>16</v>
      </c>
      <c r="Y303" s="1" t="s">
        <v>48</v>
      </c>
      <c r="Z303" s="1" t="s">
        <v>48</v>
      </c>
      <c r="AA303" s="1" t="s">
        <v>1260</v>
      </c>
      <c r="AB303" s="1" t="s">
        <v>48</v>
      </c>
      <c r="AC303" s="1">
        <v>427</v>
      </c>
      <c r="AD303" s="1">
        <v>433</v>
      </c>
      <c r="AE303" s="1" t="s">
        <v>48</v>
      </c>
      <c r="AF303" s="1" t="s">
        <v>10299</v>
      </c>
      <c r="AG303" s="1" t="str">
        <f>HYPERLINK("http://dx.doi.org/10.1557/s43580-021-00087-0","http://dx.doi.org/10.1557/s43580-021-00087-0")</f>
        <v>http://dx.doi.org/10.1557/s43580-021-00087-0</v>
      </c>
      <c r="AH303" s="1" t="s">
        <v>48</v>
      </c>
      <c r="AI303" s="1" t="s">
        <v>10611</v>
      </c>
      <c r="AJ303" s="1">
        <v>7</v>
      </c>
      <c r="AK303" s="1" t="s">
        <v>1876</v>
      </c>
      <c r="AL303" s="1" t="s">
        <v>124</v>
      </c>
      <c r="AM303" s="1" t="s">
        <v>1877</v>
      </c>
      <c r="AN303" s="1" t="s">
        <v>48</v>
      </c>
      <c r="AO303" s="1" t="s">
        <v>48</v>
      </c>
      <c r="AP303" s="1" t="s">
        <v>48</v>
      </c>
      <c r="AQ303" s="1" t="s">
        <v>48</v>
      </c>
      <c r="AR303" s="1" t="s">
        <v>10610</v>
      </c>
    </row>
    <row r="304" spans="1:44" x14ac:dyDescent="0.45">
      <c r="A304" s="1" t="s">
        <v>10300</v>
      </c>
      <c r="B304" s="1" t="s">
        <v>10301</v>
      </c>
      <c r="C304" s="1" t="s">
        <v>4053</v>
      </c>
      <c r="D304" s="1" t="s">
        <v>52</v>
      </c>
      <c r="E304" s="1" t="s">
        <v>53</v>
      </c>
      <c r="F304" s="1" t="s">
        <v>10302</v>
      </c>
      <c r="G304" s="1" t="s">
        <v>10303</v>
      </c>
      <c r="H304" s="1" t="s">
        <v>227</v>
      </c>
      <c r="I304" s="1">
        <v>42</v>
      </c>
      <c r="J304" s="1">
        <v>91</v>
      </c>
      <c r="K304" s="1">
        <v>6</v>
      </c>
      <c r="L304" s="1">
        <v>43</v>
      </c>
      <c r="M304" s="1" t="s">
        <v>503</v>
      </c>
      <c r="N304" s="1" t="s">
        <v>542</v>
      </c>
      <c r="O304" s="1" t="s">
        <v>543</v>
      </c>
      <c r="P304" s="1" t="s">
        <v>4056</v>
      </c>
      <c r="Q304" s="1" t="s">
        <v>4057</v>
      </c>
      <c r="R304" s="1" t="s">
        <v>48</v>
      </c>
      <c r="S304" s="1" t="s">
        <v>4058</v>
      </c>
      <c r="T304" s="1" t="s">
        <v>4059</v>
      </c>
      <c r="U304" s="1" t="s">
        <v>962</v>
      </c>
      <c r="V304" s="1">
        <v>2022</v>
      </c>
      <c r="W304" s="1">
        <v>309</v>
      </c>
      <c r="X304" s="1">
        <v>1</v>
      </c>
      <c r="Y304" s="1" t="s">
        <v>48</v>
      </c>
      <c r="Z304" s="1" t="s">
        <v>48</v>
      </c>
      <c r="AA304" s="1" t="s">
        <v>48</v>
      </c>
      <c r="AB304" s="1" t="s">
        <v>48</v>
      </c>
      <c r="AC304" s="1">
        <v>233</v>
      </c>
      <c r="AD304" s="1">
        <v>248</v>
      </c>
      <c r="AE304" s="1" t="s">
        <v>48</v>
      </c>
      <c r="AF304" s="1" t="s">
        <v>10304</v>
      </c>
      <c r="AG304" s="1" t="str">
        <f>HYPERLINK("http://dx.doi.org/10.1007/s10479-021-04143-8","http://dx.doi.org/10.1007/s10479-021-04143-8")</f>
        <v>http://dx.doi.org/10.1007/s10479-021-04143-8</v>
      </c>
      <c r="AH304" s="1" t="s">
        <v>48</v>
      </c>
      <c r="AI304" s="1" t="s">
        <v>10611</v>
      </c>
      <c r="AJ304" s="1">
        <v>16</v>
      </c>
      <c r="AK304" s="1" t="s">
        <v>580</v>
      </c>
      <c r="AL304" s="1" t="s">
        <v>67</v>
      </c>
      <c r="AM304" s="1" t="s">
        <v>580</v>
      </c>
      <c r="AN304" s="1" t="s">
        <v>48</v>
      </c>
      <c r="AO304" s="1" t="s">
        <v>48</v>
      </c>
      <c r="AP304" s="1" t="s">
        <v>48</v>
      </c>
      <c r="AQ304" s="1" t="s">
        <v>48</v>
      </c>
      <c r="AR304" s="1" t="s">
        <v>10610</v>
      </c>
    </row>
    <row r="305" spans="1:44" x14ac:dyDescent="0.45">
      <c r="A305" s="1" t="s">
        <v>10322</v>
      </c>
      <c r="B305" s="1" t="s">
        <v>10323</v>
      </c>
      <c r="C305" s="1" t="s">
        <v>10324</v>
      </c>
      <c r="D305" s="1" t="s">
        <v>52</v>
      </c>
      <c r="E305" s="1" t="s">
        <v>53</v>
      </c>
      <c r="F305" s="1" t="s">
        <v>10325</v>
      </c>
      <c r="G305" s="1" t="s">
        <v>10326</v>
      </c>
      <c r="H305" s="1" t="s">
        <v>7799</v>
      </c>
      <c r="I305" s="1">
        <v>51</v>
      </c>
      <c r="J305" s="1">
        <v>2</v>
      </c>
      <c r="K305" s="1">
        <v>1</v>
      </c>
      <c r="L305" s="1">
        <v>9</v>
      </c>
      <c r="M305" s="1" t="s">
        <v>1242</v>
      </c>
      <c r="N305" s="1" t="s">
        <v>1243</v>
      </c>
      <c r="O305" s="1" t="s">
        <v>1244</v>
      </c>
      <c r="P305" s="1" t="s">
        <v>10327</v>
      </c>
      <c r="Q305" s="1" t="s">
        <v>10328</v>
      </c>
      <c r="R305" s="1" t="s">
        <v>48</v>
      </c>
      <c r="S305" s="1" t="s">
        <v>10329</v>
      </c>
      <c r="T305" s="1" t="s">
        <v>10330</v>
      </c>
      <c r="U305" s="1" t="s">
        <v>2519</v>
      </c>
      <c r="V305" s="1">
        <v>2022</v>
      </c>
      <c r="W305" s="1">
        <v>43</v>
      </c>
      <c r="X305" s="1">
        <v>14</v>
      </c>
      <c r="Y305" s="1" t="s">
        <v>48</v>
      </c>
      <c r="Z305" s="1" t="s">
        <v>48</v>
      </c>
      <c r="AA305" s="1" t="s">
        <v>48</v>
      </c>
      <c r="AB305" s="1" t="s">
        <v>48</v>
      </c>
      <c r="AC305" s="1">
        <v>2071</v>
      </c>
      <c r="AD305" s="1">
        <v>2081</v>
      </c>
      <c r="AE305" s="1" t="s">
        <v>48</v>
      </c>
      <c r="AF305" s="1" t="s">
        <v>10331</v>
      </c>
      <c r="AG305" s="1" t="str">
        <f>HYPERLINK("http://dx.doi.org/10.1080/01932691.2021.1915155","http://dx.doi.org/10.1080/01932691.2021.1915155")</f>
        <v>http://dx.doi.org/10.1080/01932691.2021.1915155</v>
      </c>
      <c r="AH305" s="1" t="s">
        <v>48</v>
      </c>
      <c r="AI305" s="1" t="s">
        <v>10621</v>
      </c>
      <c r="AJ305" s="1">
        <v>11</v>
      </c>
      <c r="AK305" s="1" t="s">
        <v>2899</v>
      </c>
      <c r="AL305" s="1" t="s">
        <v>67</v>
      </c>
      <c r="AM305" s="1" t="s">
        <v>2293</v>
      </c>
      <c r="AN305" s="1" t="s">
        <v>48</v>
      </c>
      <c r="AO305" s="1" t="s">
        <v>48</v>
      </c>
      <c r="AP305" s="1" t="s">
        <v>48</v>
      </c>
      <c r="AQ305" s="1" t="s">
        <v>48</v>
      </c>
      <c r="AR305" s="1" t="s">
        <v>10610</v>
      </c>
    </row>
    <row r="306" spans="1:44" x14ac:dyDescent="0.45">
      <c r="A306" s="1" t="s">
        <v>10305</v>
      </c>
      <c r="B306" s="1" t="s">
        <v>10306</v>
      </c>
      <c r="C306" s="1" t="s">
        <v>10307</v>
      </c>
      <c r="D306" s="1" t="s">
        <v>52</v>
      </c>
      <c r="E306" s="1" t="s">
        <v>53</v>
      </c>
      <c r="F306" s="1" t="s">
        <v>10308</v>
      </c>
      <c r="G306" s="1" t="s">
        <v>10309</v>
      </c>
      <c r="H306" s="1" t="s">
        <v>10310</v>
      </c>
      <c r="I306" s="1">
        <v>71</v>
      </c>
      <c r="J306" s="1">
        <v>6</v>
      </c>
      <c r="K306" s="1">
        <v>1</v>
      </c>
      <c r="L306" s="1">
        <v>2</v>
      </c>
      <c r="M306" s="1" t="s">
        <v>631</v>
      </c>
      <c r="N306" s="1" t="s">
        <v>632</v>
      </c>
      <c r="O306" s="1" t="s">
        <v>633</v>
      </c>
      <c r="P306" s="1" t="s">
        <v>48</v>
      </c>
      <c r="Q306" s="1" t="s">
        <v>10311</v>
      </c>
      <c r="R306" s="1" t="s">
        <v>48</v>
      </c>
      <c r="S306" s="1" t="s">
        <v>10312</v>
      </c>
      <c r="T306" s="1" t="s">
        <v>10313</v>
      </c>
      <c r="U306" s="1" t="s">
        <v>1057</v>
      </c>
      <c r="V306" s="1">
        <v>2021</v>
      </c>
      <c r="W306" s="1">
        <v>7</v>
      </c>
      <c r="X306" s="1">
        <v>1</v>
      </c>
      <c r="Y306" s="1" t="s">
        <v>48</v>
      </c>
      <c r="Z306" s="1" t="s">
        <v>48</v>
      </c>
      <c r="AA306" s="1" t="s">
        <v>48</v>
      </c>
      <c r="AB306" s="1" t="s">
        <v>48</v>
      </c>
      <c r="AC306" s="1" t="s">
        <v>48</v>
      </c>
      <c r="AD306" s="1" t="s">
        <v>48</v>
      </c>
      <c r="AE306" s="1">
        <v>77</v>
      </c>
      <c r="AF306" s="1" t="s">
        <v>10314</v>
      </c>
      <c r="AG306" s="1" t="str">
        <f>HYPERLINK("http://dx.doi.org/10.1186/s40795-021-00484-6","http://dx.doi.org/10.1186/s40795-021-00484-6")</f>
        <v>http://dx.doi.org/10.1186/s40795-021-00484-6</v>
      </c>
      <c r="AH306" s="1" t="s">
        <v>48</v>
      </c>
      <c r="AI306" s="1" t="s">
        <v>48</v>
      </c>
      <c r="AJ306" s="1">
        <v>12</v>
      </c>
      <c r="AK306" s="1" t="s">
        <v>10315</v>
      </c>
      <c r="AL306" s="1" t="s">
        <v>124</v>
      </c>
      <c r="AM306" s="1" t="s">
        <v>10315</v>
      </c>
      <c r="AN306" s="1">
        <v>34852848</v>
      </c>
      <c r="AO306" s="1" t="s">
        <v>337</v>
      </c>
      <c r="AP306" s="1" t="s">
        <v>48</v>
      </c>
      <c r="AQ306" s="1" t="s">
        <v>48</v>
      </c>
      <c r="AR306" s="1" t="s">
        <v>10610</v>
      </c>
    </row>
    <row r="307" spans="1:44" x14ac:dyDescent="0.45">
      <c r="A307" s="1" t="s">
        <v>10316</v>
      </c>
      <c r="B307" s="1" t="s">
        <v>10317</v>
      </c>
      <c r="C307" s="1" t="s">
        <v>5667</v>
      </c>
      <c r="D307" s="1" t="s">
        <v>52</v>
      </c>
      <c r="E307" s="1" t="s">
        <v>53</v>
      </c>
      <c r="F307" s="1" t="s">
        <v>10318</v>
      </c>
      <c r="G307" s="1" t="s">
        <v>10319</v>
      </c>
      <c r="H307" s="1" t="s">
        <v>10320</v>
      </c>
      <c r="I307" s="1">
        <v>59</v>
      </c>
      <c r="J307" s="1">
        <v>53</v>
      </c>
      <c r="K307" s="1">
        <v>2</v>
      </c>
      <c r="L307" s="1">
        <v>13</v>
      </c>
      <c r="M307" s="1" t="s">
        <v>503</v>
      </c>
      <c r="N307" s="1" t="s">
        <v>542</v>
      </c>
      <c r="O307" s="1" t="s">
        <v>543</v>
      </c>
      <c r="P307" s="1" t="s">
        <v>5671</v>
      </c>
      <c r="Q307" s="1" t="s">
        <v>5672</v>
      </c>
      <c r="R307" s="1" t="s">
        <v>48</v>
      </c>
      <c r="S307" s="1" t="s">
        <v>5673</v>
      </c>
      <c r="T307" s="1" t="s">
        <v>5674</v>
      </c>
      <c r="U307" s="1" t="s">
        <v>243</v>
      </c>
      <c r="V307" s="1">
        <v>2021</v>
      </c>
      <c r="W307" s="1">
        <v>27</v>
      </c>
      <c r="X307" s="1">
        <v>2</v>
      </c>
      <c r="Y307" s="1" t="s">
        <v>48</v>
      </c>
      <c r="Z307" s="1" t="s">
        <v>48</v>
      </c>
      <c r="AA307" s="1" t="s">
        <v>48</v>
      </c>
      <c r="AB307" s="1" t="s">
        <v>48</v>
      </c>
      <c r="AC307" s="1">
        <v>1149</v>
      </c>
      <c r="AD307" s="1">
        <v>1166</v>
      </c>
      <c r="AE307" s="1" t="s">
        <v>48</v>
      </c>
      <c r="AF307" s="1" t="s">
        <v>10321</v>
      </c>
      <c r="AG307" s="1" t="str">
        <f>HYPERLINK("http://dx.doi.org/10.1007/s10989-020-10157-w","http://dx.doi.org/10.1007/s10989-020-10157-w")</f>
        <v>http://dx.doi.org/10.1007/s10989-020-10157-w</v>
      </c>
      <c r="AH307" s="1" t="s">
        <v>48</v>
      </c>
      <c r="AI307" s="1" t="s">
        <v>10619</v>
      </c>
      <c r="AJ307" s="1">
        <v>18</v>
      </c>
      <c r="AK307" s="1" t="s">
        <v>5596</v>
      </c>
      <c r="AL307" s="1" t="s">
        <v>67</v>
      </c>
      <c r="AM307" s="1" t="s">
        <v>5596</v>
      </c>
      <c r="AN307" s="1">
        <v>33495694</v>
      </c>
      <c r="AO307" s="1" t="s">
        <v>1325</v>
      </c>
      <c r="AP307" s="1" t="s">
        <v>48</v>
      </c>
      <c r="AQ307" s="1" t="s">
        <v>48</v>
      </c>
      <c r="AR307" s="1" t="s">
        <v>10610</v>
      </c>
    </row>
    <row r="308" spans="1:44" x14ac:dyDescent="0.45">
      <c r="A308" s="1" t="s">
        <v>10332</v>
      </c>
      <c r="B308" s="1" t="s">
        <v>10333</v>
      </c>
      <c r="C308" s="1" t="s">
        <v>6567</v>
      </c>
      <c r="D308" s="1" t="s">
        <v>52</v>
      </c>
      <c r="E308" s="1" t="s">
        <v>53</v>
      </c>
      <c r="F308" s="1" t="s">
        <v>10334</v>
      </c>
      <c r="G308" s="1" t="s">
        <v>10335</v>
      </c>
      <c r="H308" s="1" t="s">
        <v>7281</v>
      </c>
      <c r="I308" s="1">
        <v>62</v>
      </c>
      <c r="J308" s="1">
        <v>36</v>
      </c>
      <c r="K308" s="1">
        <v>0</v>
      </c>
      <c r="L308" s="1">
        <v>21</v>
      </c>
      <c r="M308" s="1" t="s">
        <v>266</v>
      </c>
      <c r="N308" s="1" t="s">
        <v>267</v>
      </c>
      <c r="O308" s="1" t="s">
        <v>268</v>
      </c>
      <c r="P308" s="1" t="s">
        <v>6571</v>
      </c>
      <c r="Q308" s="1" t="s">
        <v>6572</v>
      </c>
      <c r="R308" s="1" t="s">
        <v>48</v>
      </c>
      <c r="S308" s="1" t="s">
        <v>6573</v>
      </c>
      <c r="T308" s="1" t="s">
        <v>6574</v>
      </c>
      <c r="U308" s="1" t="s">
        <v>962</v>
      </c>
      <c r="V308" s="1">
        <v>2021</v>
      </c>
      <c r="W308" s="1">
        <v>193</v>
      </c>
      <c r="X308" s="1" t="s">
        <v>48</v>
      </c>
      <c r="Y308" s="1" t="s">
        <v>48</v>
      </c>
      <c r="Z308" s="1" t="s">
        <v>48</v>
      </c>
      <c r="AA308" s="1" t="s">
        <v>48</v>
      </c>
      <c r="AB308" s="1" t="s">
        <v>48</v>
      </c>
      <c r="AC308" s="1" t="s">
        <v>48</v>
      </c>
      <c r="AD308" s="1" t="s">
        <v>48</v>
      </c>
      <c r="AE308" s="1">
        <v>110514</v>
      </c>
      <c r="AF308" s="1" t="s">
        <v>10336</v>
      </c>
      <c r="AG308" s="1" t="str">
        <f>HYPERLINK("http://dx.doi.org/10.1016/j.envres.2020.110514","http://dx.doi.org/10.1016/j.envres.2020.110514")</f>
        <v>http://dx.doi.org/10.1016/j.envres.2020.110514</v>
      </c>
      <c r="AH308" s="1" t="s">
        <v>48</v>
      </c>
      <c r="AI308" s="1" t="s">
        <v>48</v>
      </c>
      <c r="AJ308" s="1">
        <v>16</v>
      </c>
      <c r="AK308" s="1" t="s">
        <v>6576</v>
      </c>
      <c r="AL308" s="1" t="s">
        <v>67</v>
      </c>
      <c r="AM308" s="1" t="s">
        <v>6577</v>
      </c>
      <c r="AN308" s="1">
        <v>33245884</v>
      </c>
      <c r="AO308" s="1" t="s">
        <v>1003</v>
      </c>
      <c r="AP308" s="1" t="s">
        <v>48</v>
      </c>
      <c r="AQ308" s="1" t="s">
        <v>48</v>
      </c>
      <c r="AR308" s="1" t="s">
        <v>10610</v>
      </c>
    </row>
    <row r="309" spans="1:44" x14ac:dyDescent="0.45">
      <c r="A309" s="1" t="s">
        <v>10348</v>
      </c>
      <c r="B309" s="1" t="s">
        <v>10349</v>
      </c>
      <c r="C309" s="1" t="s">
        <v>10350</v>
      </c>
      <c r="D309" s="1" t="s">
        <v>52</v>
      </c>
      <c r="E309" s="1" t="s">
        <v>53</v>
      </c>
      <c r="F309" s="1" t="s">
        <v>10351</v>
      </c>
      <c r="G309" s="1" t="s">
        <v>10352</v>
      </c>
      <c r="H309" s="1" t="s">
        <v>10353</v>
      </c>
      <c r="I309" s="1">
        <v>72</v>
      </c>
      <c r="J309" s="1">
        <v>15</v>
      </c>
      <c r="K309" s="1">
        <v>0</v>
      </c>
      <c r="L309" s="1">
        <v>1</v>
      </c>
      <c r="M309" s="1" t="s">
        <v>347</v>
      </c>
      <c r="N309" s="1" t="s">
        <v>348</v>
      </c>
      <c r="O309" s="1" t="s">
        <v>349</v>
      </c>
      <c r="P309" s="1" t="s">
        <v>10354</v>
      </c>
      <c r="Q309" s="1" t="s">
        <v>48</v>
      </c>
      <c r="R309" s="1" t="s">
        <v>48</v>
      </c>
      <c r="S309" s="1" t="s">
        <v>10355</v>
      </c>
      <c r="T309" s="1" t="s">
        <v>10356</v>
      </c>
      <c r="U309" s="1" t="s">
        <v>458</v>
      </c>
      <c r="V309" s="1">
        <v>2021</v>
      </c>
      <c r="W309" s="1">
        <v>2</v>
      </c>
      <c r="X309" s="1" t="s">
        <v>10649</v>
      </c>
      <c r="Y309" s="1" t="s">
        <v>48</v>
      </c>
      <c r="Z309" s="1" t="s">
        <v>48</v>
      </c>
      <c r="AA309" s="1" t="s">
        <v>48</v>
      </c>
      <c r="AB309" s="1" t="s">
        <v>48</v>
      </c>
      <c r="AC309" s="1">
        <v>447</v>
      </c>
      <c r="AD309" s="1">
        <v>463</v>
      </c>
      <c r="AE309" s="1" t="s">
        <v>48</v>
      </c>
      <c r="AF309" s="1" t="s">
        <v>10357</v>
      </c>
      <c r="AG309" s="1" t="str">
        <f>HYPERLINK("http://dx.doi.org/10.1002/ansa.202000165","http://dx.doi.org/10.1002/ansa.202000165")</f>
        <v>http://dx.doi.org/10.1002/ansa.202000165</v>
      </c>
      <c r="AH309" s="1" t="s">
        <v>48</v>
      </c>
      <c r="AI309" s="1" t="s">
        <v>48</v>
      </c>
      <c r="AJ309" s="1">
        <v>17</v>
      </c>
      <c r="AK309" s="1" t="s">
        <v>6554</v>
      </c>
      <c r="AL309" s="1" t="s">
        <v>124</v>
      </c>
      <c r="AM309" s="1" t="s">
        <v>2293</v>
      </c>
      <c r="AN309" s="1">
        <v>38716442</v>
      </c>
      <c r="AO309" s="1" t="s">
        <v>125</v>
      </c>
      <c r="AP309" s="1" t="s">
        <v>48</v>
      </c>
      <c r="AQ309" s="1" t="s">
        <v>48</v>
      </c>
      <c r="AR309" s="1" t="s">
        <v>10610</v>
      </c>
    </row>
    <row r="310" spans="1:44" x14ac:dyDescent="0.45">
      <c r="A310" s="1" t="s">
        <v>10337</v>
      </c>
      <c r="B310" s="1" t="s">
        <v>10338</v>
      </c>
      <c r="C310" s="1" t="s">
        <v>10339</v>
      </c>
      <c r="D310" s="1" t="s">
        <v>52</v>
      </c>
      <c r="E310" s="1" t="s">
        <v>1114</v>
      </c>
      <c r="F310" s="1" t="s">
        <v>10340</v>
      </c>
      <c r="G310" s="1" t="s">
        <v>10341</v>
      </c>
      <c r="H310" s="1" t="s">
        <v>10342</v>
      </c>
      <c r="I310" s="1">
        <v>177</v>
      </c>
      <c r="J310" s="1">
        <v>7</v>
      </c>
      <c r="K310" s="1">
        <v>0</v>
      </c>
      <c r="L310" s="1">
        <v>11</v>
      </c>
      <c r="M310" s="1" t="s">
        <v>1297</v>
      </c>
      <c r="N310" s="1" t="s">
        <v>158</v>
      </c>
      <c r="O310" s="1" t="s">
        <v>1298</v>
      </c>
      <c r="P310" s="1" t="s">
        <v>10343</v>
      </c>
      <c r="Q310" s="1" t="s">
        <v>10344</v>
      </c>
      <c r="R310" s="1" t="s">
        <v>48</v>
      </c>
      <c r="S310" s="1" t="s">
        <v>10345</v>
      </c>
      <c r="T310" s="1" t="s">
        <v>10346</v>
      </c>
      <c r="U310" s="1" t="s">
        <v>458</v>
      </c>
      <c r="V310" s="1">
        <v>2021</v>
      </c>
      <c r="W310" s="1">
        <v>131</v>
      </c>
      <c r="X310" s="1">
        <v>4</v>
      </c>
      <c r="Y310" s="1" t="s">
        <v>48</v>
      </c>
      <c r="Z310" s="1" t="s">
        <v>48</v>
      </c>
      <c r="AA310" s="1" t="s">
        <v>48</v>
      </c>
      <c r="AB310" s="1" t="s">
        <v>48</v>
      </c>
      <c r="AC310" s="1">
        <v>1578</v>
      </c>
      <c r="AD310" s="1">
        <v>1599</v>
      </c>
      <c r="AE310" s="1" t="s">
        <v>48</v>
      </c>
      <c r="AF310" s="1" t="s">
        <v>10347</v>
      </c>
      <c r="AG310" s="1" t="str">
        <f>HYPERLINK("http://dx.doi.org/10.1111/jam.15088","http://dx.doi.org/10.1111/jam.15088")</f>
        <v>http://dx.doi.org/10.1111/jam.15088</v>
      </c>
      <c r="AH310" s="1" t="s">
        <v>48</v>
      </c>
      <c r="AI310" s="1" t="s">
        <v>10621</v>
      </c>
      <c r="AJ310" s="1">
        <v>22</v>
      </c>
      <c r="AK310" s="1" t="s">
        <v>123</v>
      </c>
      <c r="AL310" s="1" t="s">
        <v>67</v>
      </c>
      <c r="AM310" s="1" t="s">
        <v>123</v>
      </c>
      <c r="AN310" s="1">
        <v>33772980</v>
      </c>
      <c r="AO310" s="1" t="s">
        <v>48</v>
      </c>
      <c r="AP310" s="1" t="s">
        <v>48</v>
      </c>
      <c r="AQ310" s="1" t="s">
        <v>48</v>
      </c>
      <c r="AR310" s="1" t="s">
        <v>10610</v>
      </c>
    </row>
    <row r="311" spans="1:44" x14ac:dyDescent="0.45">
      <c r="A311" s="1" t="s">
        <v>10358</v>
      </c>
      <c r="B311" s="1" t="s">
        <v>10359</v>
      </c>
      <c r="C311" s="1" t="s">
        <v>10360</v>
      </c>
      <c r="D311" s="1" t="s">
        <v>52</v>
      </c>
      <c r="E311" s="1" t="s">
        <v>53</v>
      </c>
      <c r="F311" s="1" t="s">
        <v>10361</v>
      </c>
      <c r="G311" s="1" t="s">
        <v>10362</v>
      </c>
      <c r="H311" s="1" t="s">
        <v>10363</v>
      </c>
      <c r="I311" s="1">
        <v>15</v>
      </c>
      <c r="J311" s="1">
        <v>2</v>
      </c>
      <c r="K311" s="1">
        <v>0</v>
      </c>
      <c r="L311" s="1">
        <v>5</v>
      </c>
      <c r="M311" s="1" t="s">
        <v>1407</v>
      </c>
      <c r="N311" s="1" t="s">
        <v>632</v>
      </c>
      <c r="O311" s="1" t="s">
        <v>1408</v>
      </c>
      <c r="P311" s="1" t="s">
        <v>10364</v>
      </c>
      <c r="Q311" s="1" t="s">
        <v>10365</v>
      </c>
      <c r="R311" s="1" t="s">
        <v>48</v>
      </c>
      <c r="S311" s="1" t="s">
        <v>10360</v>
      </c>
      <c r="T311" s="1" t="s">
        <v>10366</v>
      </c>
      <c r="U311" s="1" t="s">
        <v>598</v>
      </c>
      <c r="V311" s="1">
        <v>2021</v>
      </c>
      <c r="W311" s="1">
        <v>144</v>
      </c>
      <c r="X311" s="1" t="s">
        <v>48</v>
      </c>
      <c r="Y311" s="1" t="s">
        <v>48</v>
      </c>
      <c r="Z311" s="1" t="s">
        <v>48</v>
      </c>
      <c r="AA311" s="1" t="s">
        <v>48</v>
      </c>
      <c r="AB311" s="1" t="s">
        <v>48</v>
      </c>
      <c r="AC311" s="1" t="s">
        <v>48</v>
      </c>
      <c r="AD311" s="1" t="s">
        <v>48</v>
      </c>
      <c r="AE311" s="1">
        <v>155555</v>
      </c>
      <c r="AF311" s="1" t="s">
        <v>10367</v>
      </c>
      <c r="AG311" s="1" t="str">
        <f>HYPERLINK("http://dx.doi.org/10.1016/j.cyto.2021.155555","http://dx.doi.org/10.1016/j.cyto.2021.155555")</f>
        <v>http://dx.doi.org/10.1016/j.cyto.2021.155555</v>
      </c>
      <c r="AH311" s="1" t="s">
        <v>48</v>
      </c>
      <c r="AI311" s="1" t="s">
        <v>10611</v>
      </c>
      <c r="AJ311" s="1">
        <v>6</v>
      </c>
      <c r="AK311" s="1" t="s">
        <v>10368</v>
      </c>
      <c r="AL311" s="1" t="s">
        <v>67</v>
      </c>
      <c r="AM311" s="1" t="s">
        <v>10368</v>
      </c>
      <c r="AN311" s="1">
        <v>33992538</v>
      </c>
      <c r="AO311" s="1" t="s">
        <v>48</v>
      </c>
      <c r="AP311" s="1" t="s">
        <v>48</v>
      </c>
      <c r="AQ311" s="1" t="s">
        <v>48</v>
      </c>
      <c r="AR311" s="1" t="s">
        <v>10610</v>
      </c>
    </row>
    <row r="312" spans="1:44" x14ac:dyDescent="0.45">
      <c r="A312" s="1" t="s">
        <v>10379</v>
      </c>
      <c r="B312" s="1" t="s">
        <v>10380</v>
      </c>
      <c r="C312" s="1" t="s">
        <v>4580</v>
      </c>
      <c r="D312" s="1" t="s">
        <v>52</v>
      </c>
      <c r="E312" s="1" t="s">
        <v>53</v>
      </c>
      <c r="F312" s="1" t="s">
        <v>10381</v>
      </c>
      <c r="G312" s="1" t="s">
        <v>10382</v>
      </c>
      <c r="H312" s="1" t="s">
        <v>10383</v>
      </c>
      <c r="I312" s="1">
        <v>50</v>
      </c>
      <c r="J312" s="1">
        <v>32</v>
      </c>
      <c r="K312" s="1">
        <v>0</v>
      </c>
      <c r="L312" s="1">
        <v>31</v>
      </c>
      <c r="M312" s="1" t="s">
        <v>1168</v>
      </c>
      <c r="N312" s="1" t="s">
        <v>504</v>
      </c>
      <c r="O312" s="1" t="s">
        <v>1169</v>
      </c>
      <c r="P312" s="1" t="s">
        <v>4587</v>
      </c>
      <c r="Q312" s="1" t="s">
        <v>4588</v>
      </c>
      <c r="R312" s="1" t="s">
        <v>48</v>
      </c>
      <c r="S312" s="1" t="s">
        <v>4589</v>
      </c>
      <c r="T312" s="1" t="s">
        <v>4590</v>
      </c>
      <c r="U312" s="1" t="s">
        <v>962</v>
      </c>
      <c r="V312" s="1">
        <v>2021</v>
      </c>
      <c r="W312" s="1">
        <v>249</v>
      </c>
      <c r="X312" s="1" t="s">
        <v>48</v>
      </c>
      <c r="Y312" s="1" t="s">
        <v>48</v>
      </c>
      <c r="Z312" s="1" t="s">
        <v>48</v>
      </c>
      <c r="AA312" s="1" t="s">
        <v>48</v>
      </c>
      <c r="AB312" s="1" t="s">
        <v>48</v>
      </c>
      <c r="AC312" s="1" t="s">
        <v>48</v>
      </c>
      <c r="AD312" s="1" t="s">
        <v>48</v>
      </c>
      <c r="AE312" s="1">
        <v>105308</v>
      </c>
      <c r="AF312" s="1" t="s">
        <v>10384</v>
      </c>
      <c r="AG312" s="1" t="str">
        <f>HYPERLINK("http://dx.doi.org/10.1016/j.atmosres.2020.105308","http://dx.doi.org/10.1016/j.atmosres.2020.105308")</f>
        <v>http://dx.doi.org/10.1016/j.atmosres.2020.105308</v>
      </c>
      <c r="AH312" s="1" t="s">
        <v>48</v>
      </c>
      <c r="AI312" s="1" t="s">
        <v>48</v>
      </c>
      <c r="AJ312" s="1">
        <v>13</v>
      </c>
      <c r="AK312" s="1" t="s">
        <v>1112</v>
      </c>
      <c r="AL312" s="1" t="s">
        <v>67</v>
      </c>
      <c r="AM312" s="1" t="s">
        <v>1112</v>
      </c>
      <c r="AN312" s="1" t="s">
        <v>48</v>
      </c>
      <c r="AO312" s="1" t="s">
        <v>2074</v>
      </c>
      <c r="AP312" s="1" t="s">
        <v>48</v>
      </c>
      <c r="AQ312" s="1" t="s">
        <v>48</v>
      </c>
      <c r="AR312" s="1" t="s">
        <v>10610</v>
      </c>
    </row>
    <row r="313" spans="1:44" x14ac:dyDescent="0.45">
      <c r="A313" s="1" t="s">
        <v>10385</v>
      </c>
      <c r="B313" s="1" t="s">
        <v>10386</v>
      </c>
      <c r="C313" s="1" t="s">
        <v>4288</v>
      </c>
      <c r="D313" s="1" t="s">
        <v>52</v>
      </c>
      <c r="E313" s="1" t="s">
        <v>53</v>
      </c>
      <c r="F313" s="1" t="s">
        <v>10387</v>
      </c>
      <c r="G313" s="1" t="s">
        <v>10388</v>
      </c>
      <c r="H313" s="1" t="s">
        <v>10389</v>
      </c>
      <c r="I313" s="1">
        <v>51</v>
      </c>
      <c r="J313" s="1">
        <v>17</v>
      </c>
      <c r="K313" s="1">
        <v>1</v>
      </c>
      <c r="L313" s="1">
        <v>12</v>
      </c>
      <c r="M313" s="1" t="s">
        <v>132</v>
      </c>
      <c r="N313" s="1" t="s">
        <v>133</v>
      </c>
      <c r="O313" s="1" t="s">
        <v>134</v>
      </c>
      <c r="P313" s="1" t="s">
        <v>48</v>
      </c>
      <c r="Q313" s="1" t="s">
        <v>4290</v>
      </c>
      <c r="R313" s="1" t="s">
        <v>48</v>
      </c>
      <c r="S313" s="1" t="s">
        <v>4291</v>
      </c>
      <c r="T313" s="1" t="s">
        <v>4292</v>
      </c>
      <c r="U313" s="1" t="s">
        <v>436</v>
      </c>
      <c r="V313" s="1">
        <v>2021</v>
      </c>
      <c r="W313" s="1">
        <v>23</v>
      </c>
      <c r="X313" s="1">
        <v>9</v>
      </c>
      <c r="Y313" s="1" t="s">
        <v>48</v>
      </c>
      <c r="Z313" s="1" t="s">
        <v>48</v>
      </c>
      <c r="AA313" s="1" t="s">
        <v>48</v>
      </c>
      <c r="AB313" s="1" t="s">
        <v>48</v>
      </c>
      <c r="AC313" s="1" t="s">
        <v>48</v>
      </c>
      <c r="AD313" s="1" t="s">
        <v>48</v>
      </c>
      <c r="AE313" s="1">
        <v>1176</v>
      </c>
      <c r="AF313" s="1" t="s">
        <v>10390</v>
      </c>
      <c r="AG313" s="1" t="str">
        <f>HYPERLINK("http://dx.doi.org/10.3390/e23091176","http://dx.doi.org/10.3390/e23091176")</f>
        <v>http://dx.doi.org/10.3390/e23091176</v>
      </c>
      <c r="AH313" s="1" t="s">
        <v>48</v>
      </c>
      <c r="AI313" s="1" t="s">
        <v>48</v>
      </c>
      <c r="AJ313" s="1">
        <v>23</v>
      </c>
      <c r="AK313" s="1" t="s">
        <v>669</v>
      </c>
      <c r="AL313" s="1" t="s">
        <v>67</v>
      </c>
      <c r="AM313" s="1" t="s">
        <v>670</v>
      </c>
      <c r="AN313" s="1">
        <v>34573801</v>
      </c>
      <c r="AO313" s="1" t="s">
        <v>366</v>
      </c>
      <c r="AP313" s="1" t="s">
        <v>48</v>
      </c>
      <c r="AQ313" s="1" t="s">
        <v>48</v>
      </c>
      <c r="AR313" s="1" t="s">
        <v>10610</v>
      </c>
    </row>
    <row r="314" spans="1:44" x14ac:dyDescent="0.45">
      <c r="A314" s="1" t="s">
        <v>10369</v>
      </c>
      <c r="B314" s="1" t="s">
        <v>10370</v>
      </c>
      <c r="C314" s="1" t="s">
        <v>10371</v>
      </c>
      <c r="D314" s="1" t="s">
        <v>52</v>
      </c>
      <c r="E314" s="1" t="s">
        <v>53</v>
      </c>
      <c r="F314" s="1" t="s">
        <v>10372</v>
      </c>
      <c r="G314" s="1" t="s">
        <v>10373</v>
      </c>
      <c r="H314" s="1" t="s">
        <v>10374</v>
      </c>
      <c r="I314" s="1">
        <v>31</v>
      </c>
      <c r="J314" s="1">
        <v>15</v>
      </c>
      <c r="K314" s="1">
        <v>3</v>
      </c>
      <c r="L314" s="1">
        <v>12</v>
      </c>
      <c r="M314" s="1" t="s">
        <v>1183</v>
      </c>
      <c r="N314" s="1" t="s">
        <v>1184</v>
      </c>
      <c r="O314" s="1" t="s">
        <v>1185</v>
      </c>
      <c r="P314" s="1" t="s">
        <v>10375</v>
      </c>
      <c r="Q314" s="1" t="s">
        <v>48</v>
      </c>
      <c r="R314" s="1" t="s">
        <v>48</v>
      </c>
      <c r="S314" s="1" t="s">
        <v>10376</v>
      </c>
      <c r="T314" s="1" t="s">
        <v>10377</v>
      </c>
      <c r="U314" s="1" t="s">
        <v>4162</v>
      </c>
      <c r="V314" s="1">
        <v>2021</v>
      </c>
      <c r="W314" s="1">
        <v>7</v>
      </c>
      <c r="X314" s="1">
        <v>6</v>
      </c>
      <c r="Y314" s="1" t="s">
        <v>48</v>
      </c>
      <c r="Z314" s="1" t="s">
        <v>48</v>
      </c>
      <c r="AA314" s="1" t="s">
        <v>48</v>
      </c>
      <c r="AB314" s="1" t="s">
        <v>48</v>
      </c>
      <c r="AC314" s="1">
        <v>2475</v>
      </c>
      <c r="AD314" s="1">
        <v>2484</v>
      </c>
      <c r="AE314" s="1" t="s">
        <v>48</v>
      </c>
      <c r="AF314" s="1" t="s">
        <v>10378</v>
      </c>
      <c r="AG314" s="1" t="str">
        <f>HYPERLINK("http://dx.doi.org/10.1021/acsbiomaterials.1c00402","http://dx.doi.org/10.1021/acsbiomaterials.1c00402")</f>
        <v>http://dx.doi.org/10.1021/acsbiomaterials.1c00402</v>
      </c>
      <c r="AH314" s="1" t="s">
        <v>48</v>
      </c>
      <c r="AI314" s="1" t="s">
        <v>10611</v>
      </c>
      <c r="AJ314" s="1">
        <v>10</v>
      </c>
      <c r="AK314" s="1" t="s">
        <v>9211</v>
      </c>
      <c r="AL314" s="1" t="s">
        <v>67</v>
      </c>
      <c r="AM314" s="1" t="s">
        <v>1877</v>
      </c>
      <c r="AN314" s="1">
        <v>34060316</v>
      </c>
      <c r="AO314" s="1" t="s">
        <v>2074</v>
      </c>
      <c r="AP314" s="1" t="s">
        <v>48</v>
      </c>
      <c r="AQ314" s="1" t="s">
        <v>48</v>
      </c>
      <c r="AR314" s="1" t="s">
        <v>10610</v>
      </c>
    </row>
    <row r="315" spans="1:44" x14ac:dyDescent="0.45">
      <c r="A315" s="1" t="s">
        <v>10391</v>
      </c>
      <c r="B315" s="1" t="s">
        <v>10392</v>
      </c>
      <c r="C315" s="1" t="s">
        <v>10393</v>
      </c>
      <c r="D315" s="1" t="s">
        <v>52</v>
      </c>
      <c r="E315" s="1" t="s">
        <v>53</v>
      </c>
      <c r="F315" s="1" t="s">
        <v>10394</v>
      </c>
      <c r="G315" s="1" t="s">
        <v>10395</v>
      </c>
      <c r="H315" s="1" t="s">
        <v>10396</v>
      </c>
      <c r="I315" s="1">
        <v>54</v>
      </c>
      <c r="J315" s="1">
        <v>12</v>
      </c>
      <c r="K315" s="1">
        <v>1</v>
      </c>
      <c r="L315" s="1">
        <v>7</v>
      </c>
      <c r="M315" s="1" t="s">
        <v>347</v>
      </c>
      <c r="N315" s="1" t="s">
        <v>348</v>
      </c>
      <c r="O315" s="1" t="s">
        <v>349</v>
      </c>
      <c r="P315" s="1" t="s">
        <v>10397</v>
      </c>
      <c r="Q315" s="1" t="s">
        <v>10398</v>
      </c>
      <c r="R315" s="1" t="s">
        <v>48</v>
      </c>
      <c r="S315" s="1" t="s">
        <v>10399</v>
      </c>
      <c r="T315" s="1" t="s">
        <v>10400</v>
      </c>
      <c r="U315" s="1" t="s">
        <v>386</v>
      </c>
      <c r="V315" s="1">
        <v>2022</v>
      </c>
      <c r="W315" s="1">
        <v>43</v>
      </c>
      <c r="X315" s="1">
        <v>1</v>
      </c>
      <c r="Y315" s="1" t="s">
        <v>48</v>
      </c>
      <c r="Z315" s="1" t="s">
        <v>48</v>
      </c>
      <c r="AA315" s="1" t="s">
        <v>48</v>
      </c>
      <c r="AB315" s="1" t="s">
        <v>48</v>
      </c>
      <c r="AC315" s="1">
        <v>62</v>
      </c>
      <c r="AD315" s="1">
        <v>84</v>
      </c>
      <c r="AE315" s="1" t="s">
        <v>48</v>
      </c>
      <c r="AF315" s="1" t="s">
        <v>10401</v>
      </c>
      <c r="AG315" s="1" t="str">
        <f>HYPERLINK("http://dx.doi.org/10.1111/sjtg.12402","http://dx.doi.org/10.1111/sjtg.12402")</f>
        <v>http://dx.doi.org/10.1111/sjtg.12402</v>
      </c>
      <c r="AH315" s="1" t="s">
        <v>48</v>
      </c>
      <c r="AI315" s="1" t="s">
        <v>10616</v>
      </c>
      <c r="AJ315" s="1">
        <v>23</v>
      </c>
      <c r="AK315" s="1" t="s">
        <v>493</v>
      </c>
      <c r="AL315" s="1" t="s">
        <v>106</v>
      </c>
      <c r="AM315" s="1" t="s">
        <v>493</v>
      </c>
      <c r="AN315" s="1" t="s">
        <v>48</v>
      </c>
      <c r="AO315" s="1" t="s">
        <v>2074</v>
      </c>
      <c r="AP315" s="1" t="s">
        <v>48</v>
      </c>
      <c r="AQ315" s="1" t="s">
        <v>48</v>
      </c>
      <c r="AR315" s="1" t="s">
        <v>10610</v>
      </c>
    </row>
    <row r="316" spans="1:44" x14ac:dyDescent="0.45">
      <c r="A316" s="1" t="s">
        <v>10402</v>
      </c>
      <c r="B316" s="1" t="s">
        <v>10403</v>
      </c>
      <c r="C316" s="1" t="s">
        <v>10404</v>
      </c>
      <c r="D316" s="1" t="s">
        <v>52</v>
      </c>
      <c r="E316" s="1" t="s">
        <v>53</v>
      </c>
      <c r="F316" s="1" t="s">
        <v>10405</v>
      </c>
      <c r="G316" s="1" t="s">
        <v>10406</v>
      </c>
      <c r="H316" s="1" t="s">
        <v>2126</v>
      </c>
      <c r="I316" s="1">
        <v>41</v>
      </c>
      <c r="J316" s="1">
        <v>15</v>
      </c>
      <c r="K316" s="1">
        <v>2</v>
      </c>
      <c r="L316" s="1">
        <v>50</v>
      </c>
      <c r="M316" s="1" t="s">
        <v>60</v>
      </c>
      <c r="N316" s="1" t="s">
        <v>158</v>
      </c>
      <c r="O316" s="1" t="s">
        <v>159</v>
      </c>
      <c r="P316" s="1" t="s">
        <v>10407</v>
      </c>
      <c r="Q316" s="1" t="s">
        <v>10408</v>
      </c>
      <c r="R316" s="1" t="s">
        <v>48</v>
      </c>
      <c r="S316" s="1" t="s">
        <v>10409</v>
      </c>
      <c r="T316" s="1" t="s">
        <v>10410</v>
      </c>
      <c r="U316" s="1" t="s">
        <v>10653</v>
      </c>
      <c r="V316" s="1">
        <v>2021</v>
      </c>
      <c r="W316" s="1">
        <v>345</v>
      </c>
      <c r="X316" s="1" t="s">
        <v>48</v>
      </c>
      <c r="Y316" s="1" t="s">
        <v>48</v>
      </c>
      <c r="Z316" s="1" t="s">
        <v>48</v>
      </c>
      <c r="AA316" s="1" t="s">
        <v>48</v>
      </c>
      <c r="AB316" s="1" t="s">
        <v>48</v>
      </c>
      <c r="AC316" s="1" t="s">
        <v>48</v>
      </c>
      <c r="AD316" s="1" t="s">
        <v>48</v>
      </c>
      <c r="AE316" s="1">
        <v>128824</v>
      </c>
      <c r="AF316" s="1" t="s">
        <v>10411</v>
      </c>
      <c r="AG316" s="1" t="str">
        <f>HYPERLINK("http://dx.doi.org/10.1016/j.foodchem.2020.128824","http://dx.doi.org/10.1016/j.foodchem.2020.128824")</f>
        <v>http://dx.doi.org/10.1016/j.foodchem.2020.128824</v>
      </c>
      <c r="AH316" s="1" t="s">
        <v>48</v>
      </c>
      <c r="AI316" s="1" t="s">
        <v>48</v>
      </c>
      <c r="AJ316" s="1">
        <v>10</v>
      </c>
      <c r="AK316" s="1" t="s">
        <v>10412</v>
      </c>
      <c r="AL316" s="1" t="s">
        <v>67</v>
      </c>
      <c r="AM316" s="1" t="s">
        <v>10413</v>
      </c>
      <c r="AN316" s="1">
        <v>33321345</v>
      </c>
      <c r="AO316" s="1" t="s">
        <v>48</v>
      </c>
      <c r="AP316" s="1" t="s">
        <v>48</v>
      </c>
      <c r="AQ316" s="1" t="s">
        <v>48</v>
      </c>
      <c r="AR316" s="1" t="s">
        <v>10610</v>
      </c>
    </row>
    <row r="317" spans="1:44" x14ac:dyDescent="0.45">
      <c r="A317" s="1" t="s">
        <v>10414</v>
      </c>
      <c r="B317" s="1" t="s">
        <v>10415</v>
      </c>
      <c r="C317" s="1" t="s">
        <v>2791</v>
      </c>
      <c r="D317" s="1" t="s">
        <v>52</v>
      </c>
      <c r="E317" s="1" t="s">
        <v>53</v>
      </c>
      <c r="F317" s="1" t="s">
        <v>10416</v>
      </c>
      <c r="G317" s="1" t="s">
        <v>10417</v>
      </c>
      <c r="H317" s="1" t="s">
        <v>7799</v>
      </c>
      <c r="I317" s="1">
        <v>72</v>
      </c>
      <c r="J317" s="1">
        <v>7</v>
      </c>
      <c r="K317" s="1">
        <v>1</v>
      </c>
      <c r="L317" s="1">
        <v>11</v>
      </c>
      <c r="M317" s="1" t="s">
        <v>79</v>
      </c>
      <c r="N317" s="1" t="s">
        <v>80</v>
      </c>
      <c r="O317" s="1" t="s">
        <v>81</v>
      </c>
      <c r="P317" s="1" t="s">
        <v>2796</v>
      </c>
      <c r="Q317" s="1" t="s">
        <v>2797</v>
      </c>
      <c r="R317" s="1" t="s">
        <v>48</v>
      </c>
      <c r="S317" s="1" t="s">
        <v>2798</v>
      </c>
      <c r="T317" s="1" t="s">
        <v>2799</v>
      </c>
      <c r="U317" s="1" t="s">
        <v>3779</v>
      </c>
      <c r="V317" s="1">
        <v>2021</v>
      </c>
      <c r="W317" s="1">
        <v>337</v>
      </c>
      <c r="X317" s="1" t="s">
        <v>48</v>
      </c>
      <c r="Y317" s="1" t="s">
        <v>48</v>
      </c>
      <c r="Z317" s="1" t="s">
        <v>48</v>
      </c>
      <c r="AA317" s="1" t="s">
        <v>48</v>
      </c>
      <c r="AB317" s="1" t="s">
        <v>48</v>
      </c>
      <c r="AC317" s="1" t="s">
        <v>48</v>
      </c>
      <c r="AD317" s="1" t="s">
        <v>48</v>
      </c>
      <c r="AE317" s="1">
        <v>116363</v>
      </c>
      <c r="AF317" s="1" t="s">
        <v>10418</v>
      </c>
      <c r="AG317" s="1" t="str">
        <f>HYPERLINK("http://dx.doi.org/10.1016/j.molliq.2021.116363","http://dx.doi.org/10.1016/j.molliq.2021.116363")</f>
        <v>http://dx.doi.org/10.1016/j.molliq.2021.116363</v>
      </c>
      <c r="AH317" s="1" t="s">
        <v>48</v>
      </c>
      <c r="AI317" s="1" t="s">
        <v>10613</v>
      </c>
      <c r="AJ317" s="1">
        <v>11</v>
      </c>
      <c r="AK317" s="1" t="s">
        <v>2595</v>
      </c>
      <c r="AL317" s="1" t="s">
        <v>67</v>
      </c>
      <c r="AM317" s="1" t="s">
        <v>2596</v>
      </c>
      <c r="AN317" s="1" t="s">
        <v>48</v>
      </c>
      <c r="AO317" s="1" t="s">
        <v>48</v>
      </c>
      <c r="AP317" s="1" t="s">
        <v>48</v>
      </c>
      <c r="AQ317" s="1" t="s">
        <v>48</v>
      </c>
      <c r="AR317" s="1" t="s">
        <v>10610</v>
      </c>
    </row>
    <row r="318" spans="1:44" x14ac:dyDescent="0.45">
      <c r="A318" s="1" t="s">
        <v>10419</v>
      </c>
      <c r="B318" s="1" t="s">
        <v>10420</v>
      </c>
      <c r="C318" s="1" t="s">
        <v>7491</v>
      </c>
      <c r="D318" s="1" t="s">
        <v>52</v>
      </c>
      <c r="E318" s="1" t="s">
        <v>53</v>
      </c>
      <c r="F318" s="1" t="s">
        <v>10421</v>
      </c>
      <c r="G318" s="1" t="s">
        <v>10422</v>
      </c>
      <c r="H318" s="1" t="s">
        <v>10423</v>
      </c>
      <c r="I318" s="1">
        <v>70</v>
      </c>
      <c r="J318" s="1">
        <v>105</v>
      </c>
      <c r="K318" s="1">
        <v>6</v>
      </c>
      <c r="L318" s="1">
        <v>111</v>
      </c>
      <c r="M318" s="1" t="s">
        <v>79</v>
      </c>
      <c r="N318" s="1" t="s">
        <v>80</v>
      </c>
      <c r="O318" s="1" t="s">
        <v>81</v>
      </c>
      <c r="P318" s="1" t="s">
        <v>7495</v>
      </c>
      <c r="Q318" s="1" t="s">
        <v>7496</v>
      </c>
      <c r="R318" s="1" t="s">
        <v>48</v>
      </c>
      <c r="S318" s="1" t="s">
        <v>7497</v>
      </c>
      <c r="T318" s="1" t="s">
        <v>7498</v>
      </c>
      <c r="U318" s="1" t="s">
        <v>832</v>
      </c>
      <c r="V318" s="1">
        <v>2021</v>
      </c>
      <c r="W318" s="1">
        <v>68</v>
      </c>
      <c r="X318" s="1" t="s">
        <v>48</v>
      </c>
      <c r="Y318" s="1" t="s">
        <v>48</v>
      </c>
      <c r="Z318" s="1" t="s">
        <v>48</v>
      </c>
      <c r="AA318" s="1" t="s">
        <v>48</v>
      </c>
      <c r="AB318" s="1" t="s">
        <v>48</v>
      </c>
      <c r="AC318" s="1" t="s">
        <v>48</v>
      </c>
      <c r="AD318" s="1" t="s">
        <v>48</v>
      </c>
      <c r="AE318" s="1">
        <v>102784</v>
      </c>
      <c r="AF318" s="1" t="s">
        <v>10424</v>
      </c>
      <c r="AG318" s="1" t="str">
        <f>HYPERLINK("http://dx.doi.org/10.1016/j.scs.2021.102784","http://dx.doi.org/10.1016/j.scs.2021.102784")</f>
        <v>http://dx.doi.org/10.1016/j.scs.2021.102784</v>
      </c>
      <c r="AH318" s="1" t="s">
        <v>48</v>
      </c>
      <c r="AI318" s="1" t="s">
        <v>10617</v>
      </c>
      <c r="AJ318" s="1">
        <v>15</v>
      </c>
      <c r="AK318" s="1" t="s">
        <v>7500</v>
      </c>
      <c r="AL318" s="1" t="s">
        <v>944</v>
      </c>
      <c r="AM318" s="1" t="s">
        <v>7501</v>
      </c>
      <c r="AN318" s="1">
        <v>33643810</v>
      </c>
      <c r="AO318" s="1" t="s">
        <v>10425</v>
      </c>
      <c r="AP318" s="1" t="s">
        <v>48</v>
      </c>
      <c r="AQ318" s="1" t="s">
        <v>48</v>
      </c>
      <c r="AR318" s="1" t="s">
        <v>10610</v>
      </c>
    </row>
    <row r="319" spans="1:44" x14ac:dyDescent="0.45">
      <c r="A319" s="1" t="s">
        <v>10426</v>
      </c>
      <c r="B319" s="1" t="s">
        <v>10427</v>
      </c>
      <c r="C319" s="1" t="s">
        <v>4698</v>
      </c>
      <c r="D319" s="1" t="s">
        <v>52</v>
      </c>
      <c r="E319" s="1" t="s">
        <v>53</v>
      </c>
      <c r="F319" s="1" t="s">
        <v>10428</v>
      </c>
      <c r="G319" s="1" t="s">
        <v>10429</v>
      </c>
      <c r="H319" s="1" t="s">
        <v>10430</v>
      </c>
      <c r="I319" s="1">
        <v>58</v>
      </c>
      <c r="J319" s="1">
        <v>18</v>
      </c>
      <c r="K319" s="1">
        <v>1</v>
      </c>
      <c r="L319" s="1">
        <v>15</v>
      </c>
      <c r="M319" s="1" t="s">
        <v>79</v>
      </c>
      <c r="N319" s="1" t="s">
        <v>80</v>
      </c>
      <c r="O319" s="1" t="s">
        <v>81</v>
      </c>
      <c r="P319" s="1" t="s">
        <v>4701</v>
      </c>
      <c r="Q319" s="1" t="s">
        <v>4702</v>
      </c>
      <c r="R319" s="1" t="s">
        <v>48</v>
      </c>
      <c r="S319" s="1" t="s">
        <v>4703</v>
      </c>
      <c r="T319" s="1" t="s">
        <v>4704</v>
      </c>
      <c r="U319" s="1" t="s">
        <v>796</v>
      </c>
      <c r="V319" s="1">
        <v>2021</v>
      </c>
      <c r="W319" s="1">
        <v>1224</v>
      </c>
      <c r="X319" s="1" t="s">
        <v>48</v>
      </c>
      <c r="Y319" s="1" t="s">
        <v>48</v>
      </c>
      <c r="Z319" s="1" t="s">
        <v>48</v>
      </c>
      <c r="AA319" s="1" t="s">
        <v>48</v>
      </c>
      <c r="AB319" s="1" t="s">
        <v>48</v>
      </c>
      <c r="AC319" s="1" t="s">
        <v>48</v>
      </c>
      <c r="AD319" s="1" t="s">
        <v>48</v>
      </c>
      <c r="AE319" s="1">
        <v>129015</v>
      </c>
      <c r="AF319" s="1" t="s">
        <v>10431</v>
      </c>
      <c r="AG319" s="1" t="str">
        <f>HYPERLINK("http://dx.doi.org/10.1016/j.molstruc.2020.129015","http://dx.doi.org/10.1016/j.molstruc.2020.129015")</f>
        <v>http://dx.doi.org/10.1016/j.molstruc.2020.129015</v>
      </c>
      <c r="AH319" s="1" t="s">
        <v>48</v>
      </c>
      <c r="AI319" s="1" t="s">
        <v>48</v>
      </c>
      <c r="AJ319" s="1">
        <v>13</v>
      </c>
      <c r="AK319" s="1" t="s">
        <v>2899</v>
      </c>
      <c r="AL319" s="1" t="s">
        <v>67</v>
      </c>
      <c r="AM319" s="1" t="s">
        <v>2293</v>
      </c>
      <c r="AN319" s="1" t="s">
        <v>48</v>
      </c>
      <c r="AO319" s="1" t="s">
        <v>48</v>
      </c>
      <c r="AP319" s="1" t="s">
        <v>48</v>
      </c>
      <c r="AQ319" s="1" t="s">
        <v>48</v>
      </c>
      <c r="AR319" s="1" t="s">
        <v>10610</v>
      </c>
    </row>
    <row r="320" spans="1:44" x14ac:dyDescent="0.45">
      <c r="A320" s="1" t="s">
        <v>10432</v>
      </c>
      <c r="B320" s="1" t="s">
        <v>10433</v>
      </c>
      <c r="C320" s="1" t="s">
        <v>10434</v>
      </c>
      <c r="D320" s="1" t="s">
        <v>52</v>
      </c>
      <c r="E320" s="1" t="s">
        <v>53</v>
      </c>
      <c r="F320" s="1" t="s">
        <v>10435</v>
      </c>
      <c r="G320" s="1" t="s">
        <v>10436</v>
      </c>
      <c r="H320" s="1" t="s">
        <v>10437</v>
      </c>
      <c r="I320" s="1">
        <v>23</v>
      </c>
      <c r="J320" s="1">
        <v>20</v>
      </c>
      <c r="K320" s="1">
        <v>1</v>
      </c>
      <c r="L320" s="1">
        <v>7</v>
      </c>
      <c r="M320" s="1" t="s">
        <v>10438</v>
      </c>
      <c r="N320" s="1" t="s">
        <v>10439</v>
      </c>
      <c r="O320" s="1" t="s">
        <v>10440</v>
      </c>
      <c r="P320" s="1" t="s">
        <v>10441</v>
      </c>
      <c r="Q320" s="1" t="s">
        <v>10442</v>
      </c>
      <c r="R320" s="1" t="s">
        <v>48</v>
      </c>
      <c r="S320" s="1" t="s">
        <v>10443</v>
      </c>
      <c r="T320" s="1" t="s">
        <v>10444</v>
      </c>
      <c r="U320" s="1" t="s">
        <v>48</v>
      </c>
      <c r="V320" s="1">
        <v>2021</v>
      </c>
      <c r="W320" s="1">
        <v>68</v>
      </c>
      <c r="X320" s="1">
        <v>1</v>
      </c>
      <c r="Y320" s="1" t="s">
        <v>48</v>
      </c>
      <c r="Z320" s="1" t="s">
        <v>48</v>
      </c>
      <c r="AA320" s="1" t="s">
        <v>48</v>
      </c>
      <c r="AB320" s="1" t="s">
        <v>48</v>
      </c>
      <c r="AC320" s="1">
        <v>1219</v>
      </c>
      <c r="AD320" s="1">
        <v>1233</v>
      </c>
      <c r="AE320" s="1" t="s">
        <v>48</v>
      </c>
      <c r="AF320" s="1" t="s">
        <v>10445</v>
      </c>
      <c r="AG320" s="1" t="str">
        <f>HYPERLINK("http://dx.doi.org/10.32604/cmc.2021.015590","http://dx.doi.org/10.32604/cmc.2021.015590")</f>
        <v>http://dx.doi.org/10.32604/cmc.2021.015590</v>
      </c>
      <c r="AH320" s="1" t="s">
        <v>48</v>
      </c>
      <c r="AI320" s="1" t="s">
        <v>48</v>
      </c>
      <c r="AJ320" s="1">
        <v>15</v>
      </c>
      <c r="AK320" s="1" t="s">
        <v>10446</v>
      </c>
      <c r="AL320" s="1" t="s">
        <v>67</v>
      </c>
      <c r="AM320" s="1" t="s">
        <v>10447</v>
      </c>
      <c r="AN320" s="1" t="s">
        <v>48</v>
      </c>
      <c r="AO320" s="1" t="s">
        <v>125</v>
      </c>
      <c r="AP320" s="1" t="s">
        <v>48</v>
      </c>
      <c r="AQ320" s="1" t="s">
        <v>48</v>
      </c>
      <c r="AR320" s="1" t="s">
        <v>10610</v>
      </c>
    </row>
    <row r="321" spans="1:44" x14ac:dyDescent="0.45">
      <c r="A321" s="1" t="s">
        <v>10454</v>
      </c>
      <c r="B321" s="1" t="s">
        <v>10455</v>
      </c>
      <c r="C321" s="1" t="s">
        <v>2604</v>
      </c>
      <c r="D321" s="1" t="s">
        <v>52</v>
      </c>
      <c r="E321" s="1" t="s">
        <v>53</v>
      </c>
      <c r="F321" s="1" t="s">
        <v>10456</v>
      </c>
      <c r="G321" s="1" t="s">
        <v>10457</v>
      </c>
      <c r="H321" s="1" t="s">
        <v>7639</v>
      </c>
      <c r="I321" s="1">
        <v>49</v>
      </c>
      <c r="J321" s="1">
        <v>7</v>
      </c>
      <c r="K321" s="1">
        <v>0</v>
      </c>
      <c r="L321" s="1">
        <v>5</v>
      </c>
      <c r="M321" s="1" t="s">
        <v>2607</v>
      </c>
      <c r="N321" s="1" t="s">
        <v>361</v>
      </c>
      <c r="O321" s="1" t="s">
        <v>2608</v>
      </c>
      <c r="P321" s="1" t="s">
        <v>2609</v>
      </c>
      <c r="Q321" s="1" t="s">
        <v>2610</v>
      </c>
      <c r="R321" s="1" t="s">
        <v>48</v>
      </c>
      <c r="S321" s="1" t="s">
        <v>2611</v>
      </c>
      <c r="T321" s="1" t="s">
        <v>2612</v>
      </c>
      <c r="U321" s="1" t="s">
        <v>5395</v>
      </c>
      <c r="V321" s="1">
        <v>2021</v>
      </c>
      <c r="W321" s="1">
        <v>45</v>
      </c>
      <c r="X321" s="1">
        <v>44</v>
      </c>
      <c r="Y321" s="1" t="s">
        <v>48</v>
      </c>
      <c r="Z321" s="1" t="s">
        <v>48</v>
      </c>
      <c r="AA321" s="1" t="s">
        <v>48</v>
      </c>
      <c r="AB321" s="1" t="s">
        <v>48</v>
      </c>
      <c r="AC321" s="1">
        <v>20806</v>
      </c>
      <c r="AD321" s="1">
        <v>20817</v>
      </c>
      <c r="AE321" s="1" t="s">
        <v>48</v>
      </c>
      <c r="AF321" s="1" t="s">
        <v>10458</v>
      </c>
      <c r="AG321" s="1" t="str">
        <f>HYPERLINK("http://dx.doi.org/10.1039/d1nj03510j","http://dx.doi.org/10.1039/d1nj03510j")</f>
        <v>http://dx.doi.org/10.1039/d1nj03510j</v>
      </c>
      <c r="AH321" s="1" t="s">
        <v>48</v>
      </c>
      <c r="AI321" s="1" t="s">
        <v>10615</v>
      </c>
      <c r="AJ321" s="1">
        <v>12</v>
      </c>
      <c r="AK321" s="1" t="s">
        <v>2292</v>
      </c>
      <c r="AL321" s="1" t="s">
        <v>3514</v>
      </c>
      <c r="AM321" s="1" t="s">
        <v>2293</v>
      </c>
      <c r="AN321" s="1" t="s">
        <v>48</v>
      </c>
      <c r="AO321" s="1" t="s">
        <v>48</v>
      </c>
      <c r="AP321" s="1" t="s">
        <v>48</v>
      </c>
      <c r="AQ321" s="1" t="s">
        <v>48</v>
      </c>
      <c r="AR321" s="1" t="s">
        <v>10610</v>
      </c>
    </row>
    <row r="322" spans="1:44" x14ac:dyDescent="0.45">
      <c r="A322" s="1" t="s">
        <v>10448</v>
      </c>
      <c r="B322" s="1" t="s">
        <v>10449</v>
      </c>
      <c r="C322" s="1" t="s">
        <v>2604</v>
      </c>
      <c r="D322" s="1" t="s">
        <v>52</v>
      </c>
      <c r="E322" s="1" t="s">
        <v>53</v>
      </c>
      <c r="F322" s="1" t="s">
        <v>10450</v>
      </c>
      <c r="G322" s="1" t="s">
        <v>10451</v>
      </c>
      <c r="H322" s="1" t="s">
        <v>10452</v>
      </c>
      <c r="I322" s="1">
        <v>71</v>
      </c>
      <c r="J322" s="1">
        <v>28</v>
      </c>
      <c r="K322" s="1">
        <v>0</v>
      </c>
      <c r="L322" s="1">
        <v>7</v>
      </c>
      <c r="M322" s="1" t="s">
        <v>2607</v>
      </c>
      <c r="N322" s="1" t="s">
        <v>361</v>
      </c>
      <c r="O322" s="1" t="s">
        <v>2608</v>
      </c>
      <c r="P322" s="1" t="s">
        <v>2609</v>
      </c>
      <c r="Q322" s="1" t="s">
        <v>2610</v>
      </c>
      <c r="R322" s="1" t="s">
        <v>48</v>
      </c>
      <c r="S322" s="1" t="s">
        <v>2611</v>
      </c>
      <c r="T322" s="1" t="s">
        <v>2612</v>
      </c>
      <c r="U322" s="1" t="s">
        <v>10654</v>
      </c>
      <c r="V322" s="1">
        <v>2021</v>
      </c>
      <c r="W322" s="1">
        <v>45</v>
      </c>
      <c r="X322" s="1">
        <v>27</v>
      </c>
      <c r="Y322" s="1" t="s">
        <v>48</v>
      </c>
      <c r="Z322" s="1" t="s">
        <v>48</v>
      </c>
      <c r="AA322" s="1" t="s">
        <v>48</v>
      </c>
      <c r="AB322" s="1" t="s">
        <v>48</v>
      </c>
      <c r="AC322" s="1">
        <v>11999</v>
      </c>
      <c r="AD322" s="1">
        <v>12015</v>
      </c>
      <c r="AE322" s="1" t="s">
        <v>48</v>
      </c>
      <c r="AF322" s="1" t="s">
        <v>10453</v>
      </c>
      <c r="AG322" s="1" t="str">
        <f>HYPERLINK("http://dx.doi.org/10.1039/d0nj05883a","http://dx.doi.org/10.1039/d0nj05883a")</f>
        <v>http://dx.doi.org/10.1039/d0nj05883a</v>
      </c>
      <c r="AH322" s="1" t="s">
        <v>48</v>
      </c>
      <c r="AI322" s="1" t="s">
        <v>10621</v>
      </c>
      <c r="AJ322" s="1">
        <v>17</v>
      </c>
      <c r="AK322" s="1" t="s">
        <v>2292</v>
      </c>
      <c r="AL322" s="1" t="s">
        <v>3514</v>
      </c>
      <c r="AM322" s="1" t="s">
        <v>2293</v>
      </c>
      <c r="AN322" s="1" t="s">
        <v>48</v>
      </c>
      <c r="AO322" s="1" t="s">
        <v>48</v>
      </c>
      <c r="AP322" s="1" t="s">
        <v>48</v>
      </c>
      <c r="AQ322" s="1" t="s">
        <v>48</v>
      </c>
      <c r="AR322" s="1" t="s">
        <v>10610</v>
      </c>
    </row>
    <row r="323" spans="1:44" x14ac:dyDescent="0.45">
      <c r="A323" s="1" t="s">
        <v>10459</v>
      </c>
      <c r="B323" s="1" t="s">
        <v>10460</v>
      </c>
      <c r="C323" s="1" t="s">
        <v>10461</v>
      </c>
      <c r="D323" s="1" t="s">
        <v>52</v>
      </c>
      <c r="E323" s="1" t="s">
        <v>53</v>
      </c>
      <c r="F323" s="1" t="s">
        <v>10462</v>
      </c>
      <c r="G323" s="1" t="s">
        <v>10463</v>
      </c>
      <c r="H323" s="1" t="s">
        <v>10464</v>
      </c>
      <c r="I323" s="1">
        <v>78</v>
      </c>
      <c r="J323" s="1">
        <v>6</v>
      </c>
      <c r="K323" s="1">
        <v>0</v>
      </c>
      <c r="L323" s="1">
        <v>6</v>
      </c>
      <c r="M323" s="1" t="s">
        <v>2607</v>
      </c>
      <c r="N323" s="1" t="s">
        <v>361</v>
      </c>
      <c r="O323" s="1" t="s">
        <v>2608</v>
      </c>
      <c r="P323" s="1" t="s">
        <v>10465</v>
      </c>
      <c r="Q323" s="1" t="s">
        <v>10466</v>
      </c>
      <c r="R323" s="1" t="s">
        <v>48</v>
      </c>
      <c r="S323" s="1" t="s">
        <v>10467</v>
      </c>
      <c r="T323" s="1" t="s">
        <v>10468</v>
      </c>
      <c r="U323" s="1" t="s">
        <v>1643</v>
      </c>
      <c r="V323" s="1">
        <v>2022</v>
      </c>
      <c r="W323" s="1">
        <v>51</v>
      </c>
      <c r="X323" s="1">
        <v>6</v>
      </c>
      <c r="Y323" s="1" t="s">
        <v>48</v>
      </c>
      <c r="Z323" s="1" t="s">
        <v>48</v>
      </c>
      <c r="AA323" s="1" t="s">
        <v>48</v>
      </c>
      <c r="AB323" s="1" t="s">
        <v>48</v>
      </c>
      <c r="AC323" s="1">
        <v>2346</v>
      </c>
      <c r="AD323" s="1">
        <v>2363</v>
      </c>
      <c r="AE323" s="1" t="s">
        <v>48</v>
      </c>
      <c r="AF323" s="1" t="s">
        <v>10469</v>
      </c>
      <c r="AG323" s="1" t="str">
        <f>HYPERLINK("http://dx.doi.org/10.1039/d1dt02825a","http://dx.doi.org/10.1039/d1dt02825a")</f>
        <v>http://dx.doi.org/10.1039/d1dt02825a</v>
      </c>
      <c r="AH323" s="1" t="s">
        <v>48</v>
      </c>
      <c r="AI323" s="1" t="s">
        <v>10614</v>
      </c>
      <c r="AJ323" s="1">
        <v>18</v>
      </c>
      <c r="AK323" s="1" t="s">
        <v>4434</v>
      </c>
      <c r="AL323" s="1" t="s">
        <v>67</v>
      </c>
      <c r="AM323" s="1" t="s">
        <v>2293</v>
      </c>
      <c r="AN323" s="1">
        <v>35043134</v>
      </c>
      <c r="AO323" s="1" t="s">
        <v>48</v>
      </c>
      <c r="AP323" s="1" t="s">
        <v>48</v>
      </c>
      <c r="AQ323" s="1" t="s">
        <v>48</v>
      </c>
      <c r="AR323" s="1" t="s">
        <v>10610</v>
      </c>
    </row>
    <row r="324" spans="1:44" x14ac:dyDescent="0.45">
      <c r="A324" s="1" t="s">
        <v>10476</v>
      </c>
      <c r="B324" s="1" t="s">
        <v>10477</v>
      </c>
      <c r="C324" s="1" t="s">
        <v>7232</v>
      </c>
      <c r="D324" s="1" t="s">
        <v>52</v>
      </c>
      <c r="E324" s="1" t="s">
        <v>53</v>
      </c>
      <c r="F324" s="1" t="s">
        <v>10478</v>
      </c>
      <c r="G324" s="1" t="s">
        <v>10479</v>
      </c>
      <c r="H324" s="1" t="s">
        <v>10480</v>
      </c>
      <c r="I324" s="1">
        <v>44</v>
      </c>
      <c r="J324" s="1">
        <v>4</v>
      </c>
      <c r="K324" s="1">
        <v>2</v>
      </c>
      <c r="L324" s="1">
        <v>11</v>
      </c>
      <c r="M324" s="1" t="s">
        <v>79</v>
      </c>
      <c r="N324" s="1" t="s">
        <v>80</v>
      </c>
      <c r="O324" s="1" t="s">
        <v>81</v>
      </c>
      <c r="P324" s="1" t="s">
        <v>7236</v>
      </c>
      <c r="Q324" s="1" t="s">
        <v>7237</v>
      </c>
      <c r="R324" s="1" t="s">
        <v>48</v>
      </c>
      <c r="S324" s="1" t="s">
        <v>7238</v>
      </c>
      <c r="T324" s="1" t="s">
        <v>7239</v>
      </c>
      <c r="U324" s="1" t="s">
        <v>86</v>
      </c>
      <c r="V324" s="1">
        <v>2021</v>
      </c>
      <c r="W324" s="1">
        <v>66</v>
      </c>
      <c r="X324" s="1" t="s">
        <v>48</v>
      </c>
      <c r="Y324" s="1" t="s">
        <v>48</v>
      </c>
      <c r="Z324" s="1" t="s">
        <v>48</v>
      </c>
      <c r="AA324" s="1" t="s">
        <v>48</v>
      </c>
      <c r="AB324" s="1" t="s">
        <v>48</v>
      </c>
      <c r="AC324" s="1" t="s">
        <v>48</v>
      </c>
      <c r="AD324" s="1" t="s">
        <v>48</v>
      </c>
      <c r="AE324" s="1">
        <v>102774</v>
      </c>
      <c r="AF324" s="1" t="s">
        <v>10481</v>
      </c>
      <c r="AG324" s="1" t="str">
        <f>HYPERLINK("http://dx.doi.org/10.1016/j.jddst.2021.102774","http://dx.doi.org/10.1016/j.jddst.2021.102774")</f>
        <v>http://dx.doi.org/10.1016/j.jddst.2021.102774</v>
      </c>
      <c r="AH324" s="1" t="s">
        <v>48</v>
      </c>
      <c r="AI324" s="1" t="s">
        <v>10612</v>
      </c>
      <c r="AJ324" s="1">
        <v>8</v>
      </c>
      <c r="AK324" s="1" t="s">
        <v>1324</v>
      </c>
      <c r="AL324" s="1" t="s">
        <v>67</v>
      </c>
      <c r="AM324" s="1" t="s">
        <v>1324</v>
      </c>
      <c r="AN324" s="1" t="s">
        <v>48</v>
      </c>
      <c r="AO324" s="1" t="s">
        <v>48</v>
      </c>
      <c r="AP324" s="1" t="s">
        <v>48</v>
      </c>
      <c r="AQ324" s="1" t="s">
        <v>48</v>
      </c>
      <c r="AR324" s="1" t="s">
        <v>10610</v>
      </c>
    </row>
    <row r="325" spans="1:44" x14ac:dyDescent="0.45">
      <c r="A325" s="1" t="s">
        <v>10470</v>
      </c>
      <c r="B325" s="1" t="s">
        <v>10471</v>
      </c>
      <c r="C325" s="1" t="s">
        <v>7478</v>
      </c>
      <c r="D325" s="1" t="s">
        <v>52</v>
      </c>
      <c r="E325" s="1" t="s">
        <v>53</v>
      </c>
      <c r="F325" s="1" t="s">
        <v>10472</v>
      </c>
      <c r="G325" s="1" t="s">
        <v>10473</v>
      </c>
      <c r="H325" s="1" t="s">
        <v>10474</v>
      </c>
      <c r="I325" s="1">
        <v>77</v>
      </c>
      <c r="J325" s="1">
        <v>8</v>
      </c>
      <c r="K325" s="1">
        <v>1</v>
      </c>
      <c r="L325" s="1">
        <v>13</v>
      </c>
      <c r="M325" s="1" t="s">
        <v>198</v>
      </c>
      <c r="N325" s="1" t="s">
        <v>146</v>
      </c>
      <c r="O325" s="1" t="s">
        <v>199</v>
      </c>
      <c r="P325" s="1" t="s">
        <v>7482</v>
      </c>
      <c r="Q325" s="1" t="s">
        <v>7483</v>
      </c>
      <c r="R325" s="1" t="s">
        <v>48</v>
      </c>
      <c r="S325" s="1" t="s">
        <v>7484</v>
      </c>
      <c r="T325" s="1" t="s">
        <v>7485</v>
      </c>
      <c r="U325" s="1" t="s">
        <v>1301</v>
      </c>
      <c r="V325" s="1">
        <v>2021</v>
      </c>
      <c r="W325" s="1">
        <v>12</v>
      </c>
      <c r="X325" s="1">
        <v>1</v>
      </c>
      <c r="Y325" s="1" t="s">
        <v>48</v>
      </c>
      <c r="Z325" s="1" t="s">
        <v>48</v>
      </c>
      <c r="AA325" s="1" t="s">
        <v>48</v>
      </c>
      <c r="AB325" s="1" t="s">
        <v>48</v>
      </c>
      <c r="AC325" s="1">
        <v>2194</v>
      </c>
      <c r="AD325" s="1">
        <v>2224</v>
      </c>
      <c r="AE325" s="1" t="s">
        <v>48</v>
      </c>
      <c r="AF325" s="1" t="s">
        <v>10475</v>
      </c>
      <c r="AG325" s="1" t="str">
        <f>HYPERLINK("http://dx.doi.org/10.1080/19475705.2021.1949395","http://dx.doi.org/10.1080/19475705.2021.1949395")</f>
        <v>http://dx.doi.org/10.1080/19475705.2021.1949395</v>
      </c>
      <c r="AH325" s="1" t="s">
        <v>48</v>
      </c>
      <c r="AI325" s="1" t="s">
        <v>48</v>
      </c>
      <c r="AJ325" s="1">
        <v>31</v>
      </c>
      <c r="AK325" s="1" t="s">
        <v>7487</v>
      </c>
      <c r="AL325" s="1" t="s">
        <v>67</v>
      </c>
      <c r="AM325" s="1" t="s">
        <v>7488</v>
      </c>
      <c r="AN325" s="1" t="s">
        <v>48</v>
      </c>
      <c r="AO325" s="1" t="s">
        <v>125</v>
      </c>
      <c r="AP325" s="1" t="s">
        <v>48</v>
      </c>
      <c r="AQ325" s="1" t="s">
        <v>48</v>
      </c>
      <c r="AR325" s="1" t="s">
        <v>10610</v>
      </c>
    </row>
    <row r="326" spans="1:44" x14ac:dyDescent="0.45">
      <c r="A326" s="1" t="s">
        <v>10482</v>
      </c>
      <c r="B326" s="1" t="s">
        <v>10483</v>
      </c>
      <c r="C326" s="1" t="s">
        <v>1401</v>
      </c>
      <c r="D326" s="1" t="s">
        <v>52</v>
      </c>
      <c r="E326" s="1" t="s">
        <v>53</v>
      </c>
      <c r="F326" s="1" t="s">
        <v>10484</v>
      </c>
      <c r="G326" s="1" t="s">
        <v>10485</v>
      </c>
      <c r="H326" s="1" t="s">
        <v>10486</v>
      </c>
      <c r="I326" s="1">
        <v>98</v>
      </c>
      <c r="J326" s="1">
        <v>9</v>
      </c>
      <c r="K326" s="1">
        <v>1</v>
      </c>
      <c r="L326" s="1">
        <v>28</v>
      </c>
      <c r="M326" s="1" t="s">
        <v>1407</v>
      </c>
      <c r="N326" s="1" t="s">
        <v>632</v>
      </c>
      <c r="O326" s="1" t="s">
        <v>1408</v>
      </c>
      <c r="P326" s="1" t="s">
        <v>1409</v>
      </c>
      <c r="Q326" s="1" t="s">
        <v>1410</v>
      </c>
      <c r="R326" s="1" t="s">
        <v>48</v>
      </c>
      <c r="S326" s="1" t="s">
        <v>1411</v>
      </c>
      <c r="T326" s="1" t="s">
        <v>1412</v>
      </c>
      <c r="U326" s="1" t="s">
        <v>1439</v>
      </c>
      <c r="V326" s="1">
        <v>2021</v>
      </c>
      <c r="W326" s="1">
        <v>289</v>
      </c>
      <c r="X326" s="1" t="s">
        <v>48</v>
      </c>
      <c r="Y326" s="1" t="s">
        <v>48</v>
      </c>
      <c r="Z326" s="1" t="s">
        <v>48</v>
      </c>
      <c r="AA326" s="1" t="s">
        <v>48</v>
      </c>
      <c r="AB326" s="1" t="s">
        <v>48</v>
      </c>
      <c r="AC326" s="1" t="s">
        <v>48</v>
      </c>
      <c r="AD326" s="1" t="s">
        <v>48</v>
      </c>
      <c r="AE326" s="1">
        <v>112504</v>
      </c>
      <c r="AF326" s="1" t="s">
        <v>10487</v>
      </c>
      <c r="AG326" s="1" t="str">
        <f>HYPERLINK("http://dx.doi.org/10.1016/j.jenvman.2021.112504","http://dx.doi.org/10.1016/j.jenvman.2021.112504")</f>
        <v>http://dx.doi.org/10.1016/j.jenvman.2021.112504</v>
      </c>
      <c r="AH326" s="1" t="s">
        <v>48</v>
      </c>
      <c r="AI326" s="1" t="s">
        <v>10621</v>
      </c>
      <c r="AJ326" s="1">
        <v>17</v>
      </c>
      <c r="AK326" s="1" t="s">
        <v>438</v>
      </c>
      <c r="AL326" s="1" t="s">
        <v>944</v>
      </c>
      <c r="AM326" s="1" t="s">
        <v>439</v>
      </c>
      <c r="AN326" s="1">
        <v>33839612</v>
      </c>
      <c r="AO326" s="1" t="s">
        <v>48</v>
      </c>
      <c r="AP326" s="1" t="s">
        <v>48</v>
      </c>
      <c r="AQ326" s="1" t="s">
        <v>48</v>
      </c>
      <c r="AR326" s="1" t="s">
        <v>10610</v>
      </c>
    </row>
    <row r="327" spans="1:44" x14ac:dyDescent="0.45">
      <c r="A327" s="1" t="s">
        <v>10488</v>
      </c>
      <c r="B327" s="1" t="s">
        <v>10489</v>
      </c>
      <c r="C327" s="1" t="s">
        <v>10490</v>
      </c>
      <c r="D327" s="1" t="s">
        <v>52</v>
      </c>
      <c r="E327" s="1" t="s">
        <v>53</v>
      </c>
      <c r="F327" s="1" t="s">
        <v>10491</v>
      </c>
      <c r="G327" s="1" t="s">
        <v>10492</v>
      </c>
      <c r="H327" s="1" t="s">
        <v>10493</v>
      </c>
      <c r="I327" s="1">
        <v>72</v>
      </c>
      <c r="J327" s="1">
        <v>1</v>
      </c>
      <c r="K327" s="1">
        <v>1</v>
      </c>
      <c r="L327" s="1">
        <v>21</v>
      </c>
      <c r="M327" s="1" t="s">
        <v>503</v>
      </c>
      <c r="N327" s="1" t="s">
        <v>504</v>
      </c>
      <c r="O327" s="1" t="s">
        <v>505</v>
      </c>
      <c r="P327" s="1" t="s">
        <v>10494</v>
      </c>
      <c r="Q327" s="1" t="s">
        <v>10495</v>
      </c>
      <c r="R327" s="1" t="s">
        <v>48</v>
      </c>
      <c r="S327" s="1" t="s">
        <v>10496</v>
      </c>
      <c r="T327" s="1" t="s">
        <v>10497</v>
      </c>
      <c r="U327" s="1" t="s">
        <v>103</v>
      </c>
      <c r="V327" s="1">
        <v>2021</v>
      </c>
      <c r="W327" s="1">
        <v>43</v>
      </c>
      <c r="X327" s="1">
        <v>7</v>
      </c>
      <c r="Y327" s="1" t="s">
        <v>48</v>
      </c>
      <c r="Z327" s="1" t="s">
        <v>48</v>
      </c>
      <c r="AA327" s="1" t="s">
        <v>48</v>
      </c>
      <c r="AB327" s="1" t="s">
        <v>48</v>
      </c>
      <c r="AC327" s="1">
        <v>759</v>
      </c>
      <c r="AD327" s="1">
        <v>773</v>
      </c>
      <c r="AE327" s="1" t="s">
        <v>48</v>
      </c>
      <c r="AF327" s="1" t="s">
        <v>10498</v>
      </c>
      <c r="AG327" s="1" t="str">
        <f>HYPERLINK("http://dx.doi.org/10.1007/s13258-021-01089-w","http://dx.doi.org/10.1007/s13258-021-01089-w")</f>
        <v>http://dx.doi.org/10.1007/s13258-021-01089-w</v>
      </c>
      <c r="AH327" s="1" t="s">
        <v>48</v>
      </c>
      <c r="AI327" s="1" t="s">
        <v>10621</v>
      </c>
      <c r="AJ327" s="1">
        <v>15</v>
      </c>
      <c r="AK327" s="1" t="s">
        <v>10499</v>
      </c>
      <c r="AL327" s="1" t="s">
        <v>67</v>
      </c>
      <c r="AM327" s="1" t="s">
        <v>10499</v>
      </c>
      <c r="AN327" s="1">
        <v>33884571</v>
      </c>
      <c r="AO327" s="1" t="s">
        <v>48</v>
      </c>
      <c r="AP327" s="1" t="s">
        <v>48</v>
      </c>
      <c r="AQ327" s="1" t="s">
        <v>48</v>
      </c>
      <c r="AR327" s="1" t="s">
        <v>10610</v>
      </c>
    </row>
    <row r="328" spans="1:44" x14ac:dyDescent="0.45">
      <c r="A328" s="1" t="s">
        <v>10500</v>
      </c>
      <c r="B328" s="1" t="s">
        <v>10501</v>
      </c>
      <c r="C328" s="1" t="s">
        <v>404</v>
      </c>
      <c r="D328" s="1" t="s">
        <v>52</v>
      </c>
      <c r="E328" s="1" t="s">
        <v>53</v>
      </c>
      <c r="F328" s="1" t="s">
        <v>10502</v>
      </c>
      <c r="G328" s="1" t="s">
        <v>10503</v>
      </c>
      <c r="H328" s="1" t="s">
        <v>10504</v>
      </c>
      <c r="I328" s="1">
        <v>46</v>
      </c>
      <c r="J328" s="1">
        <v>22</v>
      </c>
      <c r="K328" s="1">
        <v>1</v>
      </c>
      <c r="L328" s="1">
        <v>3</v>
      </c>
      <c r="M328" s="1" t="s">
        <v>410</v>
      </c>
      <c r="N328" s="1" t="s">
        <v>411</v>
      </c>
      <c r="O328" s="1" t="s">
        <v>412</v>
      </c>
      <c r="P328" s="1" t="s">
        <v>413</v>
      </c>
      <c r="Q328" s="1" t="s">
        <v>48</v>
      </c>
      <c r="R328" s="1" t="s">
        <v>48</v>
      </c>
      <c r="S328" s="1" t="s">
        <v>414</v>
      </c>
      <c r="T328" s="1" t="s">
        <v>415</v>
      </c>
      <c r="U328" s="1" t="s">
        <v>10655</v>
      </c>
      <c r="V328" s="1">
        <v>2021</v>
      </c>
      <c r="W328" s="1">
        <v>11</v>
      </c>
      <c r="X328" s="1">
        <v>1</v>
      </c>
      <c r="Y328" s="1" t="s">
        <v>48</v>
      </c>
      <c r="Z328" s="1" t="s">
        <v>48</v>
      </c>
      <c r="AA328" s="1" t="s">
        <v>48</v>
      </c>
      <c r="AB328" s="1" t="s">
        <v>48</v>
      </c>
      <c r="AC328" s="1" t="s">
        <v>48</v>
      </c>
      <c r="AD328" s="1" t="s">
        <v>48</v>
      </c>
      <c r="AE328" s="1">
        <v>9946</v>
      </c>
      <c r="AF328" s="1" t="s">
        <v>10505</v>
      </c>
      <c r="AG328" s="1" t="str">
        <f>HYPERLINK("http://dx.doi.org/10.1038/s41598-021-89295-0","http://dx.doi.org/10.1038/s41598-021-89295-0")</f>
        <v>http://dx.doi.org/10.1038/s41598-021-89295-0</v>
      </c>
      <c r="AH328" s="1" t="s">
        <v>48</v>
      </c>
      <c r="AI328" s="1" t="s">
        <v>48</v>
      </c>
      <c r="AJ328" s="1">
        <v>12</v>
      </c>
      <c r="AK328" s="1" t="s">
        <v>335</v>
      </c>
      <c r="AL328" s="1" t="s">
        <v>67</v>
      </c>
      <c r="AM328" s="1" t="s">
        <v>336</v>
      </c>
      <c r="AN328" s="1">
        <v>33976269</v>
      </c>
      <c r="AO328" s="1" t="s">
        <v>337</v>
      </c>
      <c r="AP328" s="1" t="s">
        <v>48</v>
      </c>
      <c r="AQ328" s="1" t="s">
        <v>48</v>
      </c>
      <c r="AR328" s="1" t="s">
        <v>10610</v>
      </c>
    </row>
    <row r="329" spans="1:44" x14ac:dyDescent="0.45">
      <c r="A329" s="1" t="s">
        <v>10512</v>
      </c>
      <c r="B329" s="1" t="s">
        <v>10513</v>
      </c>
      <c r="C329" s="1" t="s">
        <v>10514</v>
      </c>
      <c r="D329" s="1" t="s">
        <v>52</v>
      </c>
      <c r="E329" s="1" t="s">
        <v>53</v>
      </c>
      <c r="F329" s="1" t="s">
        <v>10515</v>
      </c>
      <c r="G329" s="1" t="s">
        <v>10516</v>
      </c>
      <c r="H329" s="1" t="s">
        <v>10517</v>
      </c>
      <c r="I329" s="1">
        <v>60</v>
      </c>
      <c r="J329" s="1">
        <v>2</v>
      </c>
      <c r="K329" s="1">
        <v>0</v>
      </c>
      <c r="L329" s="1">
        <v>4</v>
      </c>
      <c r="M329" s="1" t="s">
        <v>1242</v>
      </c>
      <c r="N329" s="1" t="s">
        <v>1243</v>
      </c>
      <c r="O329" s="1" t="s">
        <v>1244</v>
      </c>
      <c r="P329" s="1" t="s">
        <v>10518</v>
      </c>
      <c r="Q329" s="1" t="s">
        <v>10519</v>
      </c>
      <c r="R329" s="1" t="s">
        <v>48</v>
      </c>
      <c r="S329" s="1" t="s">
        <v>10520</v>
      </c>
      <c r="T329" s="1" t="s">
        <v>10521</v>
      </c>
      <c r="U329" s="1" t="s">
        <v>10656</v>
      </c>
      <c r="V329" s="1">
        <v>2021</v>
      </c>
      <c r="W329" s="1">
        <v>39</v>
      </c>
      <c r="X329" s="1">
        <v>10</v>
      </c>
      <c r="Y329" s="1" t="s">
        <v>48</v>
      </c>
      <c r="Z329" s="1" t="s">
        <v>48</v>
      </c>
      <c r="AA329" s="1" t="s">
        <v>48</v>
      </c>
      <c r="AB329" s="1" t="s">
        <v>48</v>
      </c>
      <c r="AC329" s="1">
        <v>854</v>
      </c>
      <c r="AD329" s="1">
        <v>870</v>
      </c>
      <c r="AE329" s="1" t="s">
        <v>48</v>
      </c>
      <c r="AF329" s="1" t="s">
        <v>10522</v>
      </c>
      <c r="AG329" s="1" t="str">
        <f>HYPERLINK("http://dx.doi.org/10.1080/07357907.2021.1986060","http://dx.doi.org/10.1080/07357907.2021.1986060")</f>
        <v>http://dx.doi.org/10.1080/07357907.2021.1986060</v>
      </c>
      <c r="AH329" s="1" t="s">
        <v>48</v>
      </c>
      <c r="AI329" s="1" t="s">
        <v>10615</v>
      </c>
      <c r="AJ329" s="1">
        <v>17</v>
      </c>
      <c r="AK329" s="1" t="s">
        <v>10523</v>
      </c>
      <c r="AL329" s="1" t="s">
        <v>67</v>
      </c>
      <c r="AM329" s="1" t="s">
        <v>10523</v>
      </c>
      <c r="AN329" s="1">
        <v>34569407</v>
      </c>
      <c r="AO329" s="1" t="s">
        <v>48</v>
      </c>
      <c r="AP329" s="1" t="s">
        <v>48</v>
      </c>
      <c r="AQ329" s="1" t="s">
        <v>48</v>
      </c>
      <c r="AR329" s="1" t="s">
        <v>10610</v>
      </c>
    </row>
    <row r="330" spans="1:44" x14ac:dyDescent="0.45">
      <c r="A330" s="1" t="s">
        <v>10506</v>
      </c>
      <c r="B330" s="1" t="s">
        <v>10507</v>
      </c>
      <c r="C330" s="1" t="s">
        <v>404</v>
      </c>
      <c r="D330" s="1" t="s">
        <v>52</v>
      </c>
      <c r="E330" s="1" t="s">
        <v>53</v>
      </c>
      <c r="F330" s="1" t="s">
        <v>10508</v>
      </c>
      <c r="G330" s="1" t="s">
        <v>10509</v>
      </c>
      <c r="H330" s="1" t="s">
        <v>10510</v>
      </c>
      <c r="I330" s="1">
        <v>83</v>
      </c>
      <c r="J330" s="1">
        <v>7</v>
      </c>
      <c r="K330" s="1">
        <v>1</v>
      </c>
      <c r="L330" s="1">
        <v>19</v>
      </c>
      <c r="M330" s="1" t="s">
        <v>410</v>
      </c>
      <c r="N330" s="1" t="s">
        <v>411</v>
      </c>
      <c r="O330" s="1" t="s">
        <v>412</v>
      </c>
      <c r="P330" s="1" t="s">
        <v>413</v>
      </c>
      <c r="Q330" s="1" t="s">
        <v>48</v>
      </c>
      <c r="R330" s="1" t="s">
        <v>48</v>
      </c>
      <c r="S330" s="1" t="s">
        <v>414</v>
      </c>
      <c r="T330" s="1" t="s">
        <v>415</v>
      </c>
      <c r="U330" s="1" t="s">
        <v>7526</v>
      </c>
      <c r="V330" s="1">
        <v>2021</v>
      </c>
      <c r="W330" s="1">
        <v>11</v>
      </c>
      <c r="X330" s="1">
        <v>1</v>
      </c>
      <c r="Y330" s="1" t="s">
        <v>48</v>
      </c>
      <c r="Z330" s="1" t="s">
        <v>48</v>
      </c>
      <c r="AA330" s="1" t="s">
        <v>48</v>
      </c>
      <c r="AB330" s="1" t="s">
        <v>48</v>
      </c>
      <c r="AC330" s="1" t="s">
        <v>48</v>
      </c>
      <c r="AD330" s="1" t="s">
        <v>48</v>
      </c>
      <c r="AE330" s="1">
        <v>15527</v>
      </c>
      <c r="AF330" s="1" t="s">
        <v>10511</v>
      </c>
      <c r="AG330" s="1" t="str">
        <f>HYPERLINK("http://dx.doi.org/10.1038/s41598-021-94777-2","http://dx.doi.org/10.1038/s41598-021-94777-2")</f>
        <v>http://dx.doi.org/10.1038/s41598-021-94777-2</v>
      </c>
      <c r="AH330" s="1" t="s">
        <v>48</v>
      </c>
      <c r="AI330" s="1" t="s">
        <v>48</v>
      </c>
      <c r="AJ330" s="1">
        <v>9</v>
      </c>
      <c r="AK330" s="1" t="s">
        <v>335</v>
      </c>
      <c r="AL330" s="1" t="s">
        <v>67</v>
      </c>
      <c r="AM330" s="1" t="s">
        <v>336</v>
      </c>
      <c r="AN330" s="1">
        <v>34330954</v>
      </c>
      <c r="AO330" s="1" t="s">
        <v>337</v>
      </c>
      <c r="AP330" s="1" t="s">
        <v>48</v>
      </c>
      <c r="AQ330" s="1" t="s">
        <v>48</v>
      </c>
      <c r="AR330" s="1" t="s">
        <v>10610</v>
      </c>
    </row>
    <row r="331" spans="1:44" x14ac:dyDescent="0.45">
      <c r="A331" s="1" t="s">
        <v>10524</v>
      </c>
      <c r="B331" s="1" t="s">
        <v>10525</v>
      </c>
      <c r="C331" s="1" t="s">
        <v>4698</v>
      </c>
      <c r="D331" s="1" t="s">
        <v>52</v>
      </c>
      <c r="E331" s="1" t="s">
        <v>53</v>
      </c>
      <c r="F331" s="1" t="s">
        <v>10526</v>
      </c>
      <c r="G331" s="1" t="s">
        <v>10527</v>
      </c>
      <c r="H331" s="1" t="s">
        <v>1320</v>
      </c>
      <c r="I331" s="1">
        <v>77</v>
      </c>
      <c r="J331" s="1">
        <v>14</v>
      </c>
      <c r="K331" s="1">
        <v>1</v>
      </c>
      <c r="L331" s="1">
        <v>17</v>
      </c>
      <c r="M331" s="1" t="s">
        <v>79</v>
      </c>
      <c r="N331" s="1" t="s">
        <v>80</v>
      </c>
      <c r="O331" s="1" t="s">
        <v>81</v>
      </c>
      <c r="P331" s="1" t="s">
        <v>4701</v>
      </c>
      <c r="Q331" s="1" t="s">
        <v>4702</v>
      </c>
      <c r="R331" s="1" t="s">
        <v>48</v>
      </c>
      <c r="S331" s="1" t="s">
        <v>4703</v>
      </c>
      <c r="T331" s="1" t="s">
        <v>4704</v>
      </c>
      <c r="U331" s="1" t="s">
        <v>162</v>
      </c>
      <c r="V331" s="1">
        <v>2021</v>
      </c>
      <c r="W331" s="1">
        <v>1246</v>
      </c>
      <c r="X331" s="1" t="s">
        <v>48</v>
      </c>
      <c r="Y331" s="1" t="s">
        <v>48</v>
      </c>
      <c r="Z331" s="1" t="s">
        <v>48</v>
      </c>
      <c r="AA331" s="1" t="s">
        <v>48</v>
      </c>
      <c r="AB331" s="1" t="s">
        <v>48</v>
      </c>
      <c r="AC331" s="1" t="s">
        <v>48</v>
      </c>
      <c r="AD331" s="1" t="s">
        <v>48</v>
      </c>
      <c r="AE331" s="1">
        <v>131113</v>
      </c>
      <c r="AF331" s="1" t="s">
        <v>10528</v>
      </c>
      <c r="AG331" s="1" t="str">
        <f>HYPERLINK("http://dx.doi.org/10.1016/j.molstruc.2021.131113","http://dx.doi.org/10.1016/j.molstruc.2021.131113")</f>
        <v>http://dx.doi.org/10.1016/j.molstruc.2021.131113</v>
      </c>
      <c r="AH331" s="1" t="s">
        <v>48</v>
      </c>
      <c r="AI331" s="1" t="s">
        <v>10623</v>
      </c>
      <c r="AJ331" s="1">
        <v>19</v>
      </c>
      <c r="AK331" s="1" t="s">
        <v>2899</v>
      </c>
      <c r="AL331" s="1" t="s">
        <v>67</v>
      </c>
      <c r="AM331" s="1" t="s">
        <v>2293</v>
      </c>
      <c r="AN331" s="1">
        <v>34305174</v>
      </c>
      <c r="AO331" s="1" t="s">
        <v>1325</v>
      </c>
      <c r="AP331" s="1" t="s">
        <v>48</v>
      </c>
      <c r="AQ331" s="1" t="s">
        <v>48</v>
      </c>
      <c r="AR331" s="1" t="s">
        <v>10610</v>
      </c>
    </row>
    <row r="332" spans="1:44" x14ac:dyDescent="0.45">
      <c r="A332" s="1" t="s">
        <v>10529</v>
      </c>
      <c r="B332" s="1" t="s">
        <v>10530</v>
      </c>
      <c r="C332" s="1" t="s">
        <v>10531</v>
      </c>
      <c r="D332" s="1" t="s">
        <v>52</v>
      </c>
      <c r="E332" s="1" t="s">
        <v>53</v>
      </c>
      <c r="F332" s="1" t="s">
        <v>10532</v>
      </c>
      <c r="G332" s="1" t="s">
        <v>10533</v>
      </c>
      <c r="H332" s="1" t="s">
        <v>10534</v>
      </c>
      <c r="I332" s="1">
        <v>76</v>
      </c>
      <c r="J332" s="1">
        <v>56</v>
      </c>
      <c r="K332" s="1">
        <v>4</v>
      </c>
      <c r="L332" s="1">
        <v>56</v>
      </c>
      <c r="M332" s="1" t="s">
        <v>1183</v>
      </c>
      <c r="N332" s="1" t="s">
        <v>1184</v>
      </c>
      <c r="O332" s="1" t="s">
        <v>1185</v>
      </c>
      <c r="P332" s="1" t="s">
        <v>10535</v>
      </c>
      <c r="Q332" s="1" t="s">
        <v>10536</v>
      </c>
      <c r="R332" s="1" t="s">
        <v>48</v>
      </c>
      <c r="S332" s="1" t="s">
        <v>10537</v>
      </c>
      <c r="T332" s="1" t="s">
        <v>10538</v>
      </c>
      <c r="U332" s="1" t="s">
        <v>10657</v>
      </c>
      <c r="V332" s="1">
        <v>2021</v>
      </c>
      <c r="W332" s="1">
        <v>125</v>
      </c>
      <c r="X332" s="1">
        <v>7</v>
      </c>
      <c r="Y332" s="1" t="s">
        <v>48</v>
      </c>
      <c r="Z332" s="1" t="s">
        <v>48</v>
      </c>
      <c r="AA332" s="1" t="s">
        <v>48</v>
      </c>
      <c r="AB332" s="1" t="s">
        <v>48</v>
      </c>
      <c r="AC332" s="1">
        <v>1490</v>
      </c>
      <c r="AD332" s="1">
        <v>1504</v>
      </c>
      <c r="AE332" s="1" t="s">
        <v>48</v>
      </c>
      <c r="AF332" s="1" t="s">
        <v>10539</v>
      </c>
      <c r="AG332" s="1" t="str">
        <f>HYPERLINK("http://dx.doi.org/10.1021/acs.jpca.0c10518","http://dx.doi.org/10.1021/acs.jpca.0c10518")</f>
        <v>http://dx.doi.org/10.1021/acs.jpca.0c10518</v>
      </c>
      <c r="AH332" s="1" t="s">
        <v>48</v>
      </c>
      <c r="AI332" s="1" t="s">
        <v>10617</v>
      </c>
      <c r="AJ332" s="1">
        <v>15</v>
      </c>
      <c r="AK332" s="1" t="s">
        <v>2595</v>
      </c>
      <c r="AL332" s="1" t="s">
        <v>67</v>
      </c>
      <c r="AM332" s="1" t="s">
        <v>2596</v>
      </c>
      <c r="AN332" s="1">
        <v>33565874</v>
      </c>
      <c r="AO332" s="1" t="s">
        <v>48</v>
      </c>
      <c r="AP332" s="1" t="s">
        <v>48</v>
      </c>
      <c r="AQ332" s="1" t="s">
        <v>48</v>
      </c>
      <c r="AR332" s="1" t="s">
        <v>10610</v>
      </c>
    </row>
    <row r="333" spans="1:44" x14ac:dyDescent="0.45">
      <c r="A333" s="1" t="s">
        <v>10540</v>
      </c>
      <c r="B333" s="1" t="s">
        <v>10541</v>
      </c>
      <c r="C333" s="1" t="s">
        <v>3019</v>
      </c>
      <c r="D333" s="1" t="s">
        <v>52</v>
      </c>
      <c r="E333" s="1" t="s">
        <v>53</v>
      </c>
      <c r="F333" s="1" t="s">
        <v>10542</v>
      </c>
      <c r="G333" s="1" t="s">
        <v>10543</v>
      </c>
      <c r="H333" s="1" t="s">
        <v>10544</v>
      </c>
      <c r="I333" s="1">
        <v>57</v>
      </c>
      <c r="J333" s="1">
        <v>3</v>
      </c>
      <c r="K333" s="1">
        <v>0</v>
      </c>
      <c r="L333" s="1">
        <v>29</v>
      </c>
      <c r="M333" s="1" t="s">
        <v>3024</v>
      </c>
      <c r="N333" s="1" t="s">
        <v>422</v>
      </c>
      <c r="O333" s="1" t="s">
        <v>3025</v>
      </c>
      <c r="P333" s="1" t="s">
        <v>3026</v>
      </c>
      <c r="Q333" s="1" t="s">
        <v>3027</v>
      </c>
      <c r="R333" s="1" t="s">
        <v>48</v>
      </c>
      <c r="S333" s="1" t="s">
        <v>3028</v>
      </c>
      <c r="T333" s="1" t="s">
        <v>3029</v>
      </c>
      <c r="U333" s="1" t="s">
        <v>1301</v>
      </c>
      <c r="V333" s="1">
        <v>2021</v>
      </c>
      <c r="W333" s="1">
        <v>404</v>
      </c>
      <c r="X333" s="1" t="s">
        <v>48</v>
      </c>
      <c r="Y333" s="1" t="s">
        <v>48</v>
      </c>
      <c r="Z333" s="1" t="s">
        <v>48</v>
      </c>
      <c r="AA333" s="1" t="s">
        <v>48</v>
      </c>
      <c r="AB333" s="1" t="s">
        <v>48</v>
      </c>
      <c r="AC333" s="1" t="s">
        <v>48</v>
      </c>
      <c r="AD333" s="1" t="s">
        <v>48</v>
      </c>
      <c r="AE333" s="1">
        <v>112889</v>
      </c>
      <c r="AF333" s="1" t="s">
        <v>10545</v>
      </c>
      <c r="AG333" s="1" t="str">
        <f>HYPERLINK("http://dx.doi.org/10.1016/j.jphotochem.2020.112889","http://dx.doi.org/10.1016/j.jphotochem.2020.112889")</f>
        <v>http://dx.doi.org/10.1016/j.jphotochem.2020.112889</v>
      </c>
      <c r="AH333" s="1" t="s">
        <v>48</v>
      </c>
      <c r="AI333" s="1" t="s">
        <v>48</v>
      </c>
      <c r="AJ333" s="1">
        <v>12</v>
      </c>
      <c r="AK333" s="1" t="s">
        <v>2899</v>
      </c>
      <c r="AL333" s="1" t="s">
        <v>67</v>
      </c>
      <c r="AM333" s="1" t="s">
        <v>2293</v>
      </c>
      <c r="AN333" s="1" t="s">
        <v>48</v>
      </c>
      <c r="AO333" s="1" t="s">
        <v>48</v>
      </c>
      <c r="AP333" s="1" t="s">
        <v>48</v>
      </c>
      <c r="AQ333" s="1" t="s">
        <v>48</v>
      </c>
      <c r="AR333" s="1" t="s">
        <v>10610</v>
      </c>
    </row>
    <row r="334" spans="1:44" x14ac:dyDescent="0.45">
      <c r="A334" s="1" t="s">
        <v>10546</v>
      </c>
      <c r="B334" s="1" t="s">
        <v>10547</v>
      </c>
      <c r="C334" s="1" t="s">
        <v>10122</v>
      </c>
      <c r="D334" s="1" t="s">
        <v>52</v>
      </c>
      <c r="E334" s="1" t="s">
        <v>53</v>
      </c>
      <c r="F334" s="1" t="s">
        <v>10548</v>
      </c>
      <c r="G334" s="1" t="s">
        <v>10549</v>
      </c>
      <c r="H334" s="1" t="s">
        <v>10550</v>
      </c>
      <c r="I334" s="1">
        <v>58</v>
      </c>
      <c r="J334" s="1">
        <v>14</v>
      </c>
      <c r="K334" s="1">
        <v>6</v>
      </c>
      <c r="L334" s="1">
        <v>25</v>
      </c>
      <c r="M334" s="1" t="s">
        <v>132</v>
      </c>
      <c r="N334" s="1" t="s">
        <v>133</v>
      </c>
      <c r="O334" s="1" t="s">
        <v>134</v>
      </c>
      <c r="P334" s="1" t="s">
        <v>48</v>
      </c>
      <c r="Q334" s="1" t="s">
        <v>10126</v>
      </c>
      <c r="R334" s="1" t="s">
        <v>48</v>
      </c>
      <c r="S334" s="1" t="s">
        <v>10127</v>
      </c>
      <c r="T334" s="1" t="s">
        <v>10128</v>
      </c>
      <c r="U334" s="1" t="s">
        <v>352</v>
      </c>
      <c r="V334" s="1">
        <v>2021</v>
      </c>
      <c r="W334" s="1">
        <v>13</v>
      </c>
      <c r="X334" s="1">
        <v>21</v>
      </c>
      <c r="Y334" s="1" t="s">
        <v>48</v>
      </c>
      <c r="Z334" s="1" t="s">
        <v>48</v>
      </c>
      <c r="AA334" s="1" t="s">
        <v>48</v>
      </c>
      <c r="AB334" s="1" t="s">
        <v>48</v>
      </c>
      <c r="AC334" s="1" t="s">
        <v>48</v>
      </c>
      <c r="AD334" s="1" t="s">
        <v>48</v>
      </c>
      <c r="AE334" s="1">
        <v>4423</v>
      </c>
      <c r="AF334" s="1" t="s">
        <v>10551</v>
      </c>
      <c r="AG334" s="1" t="str">
        <f>HYPERLINK("http://dx.doi.org/10.3390/rs13214423","http://dx.doi.org/10.3390/rs13214423")</f>
        <v>http://dx.doi.org/10.3390/rs13214423</v>
      </c>
      <c r="AH334" s="1" t="s">
        <v>48</v>
      </c>
      <c r="AI334" s="1" t="s">
        <v>48</v>
      </c>
      <c r="AJ334" s="1">
        <v>33</v>
      </c>
      <c r="AK334" s="1" t="s">
        <v>988</v>
      </c>
      <c r="AL334" s="1" t="s">
        <v>944</v>
      </c>
      <c r="AM334" s="1" t="s">
        <v>989</v>
      </c>
      <c r="AN334" s="1" t="s">
        <v>48</v>
      </c>
      <c r="AO334" s="1" t="s">
        <v>125</v>
      </c>
      <c r="AP334" s="1" t="s">
        <v>48</v>
      </c>
      <c r="AQ334" s="1" t="s">
        <v>48</v>
      </c>
      <c r="AR334" s="1" t="s">
        <v>10610</v>
      </c>
    </row>
    <row r="335" spans="1:44" x14ac:dyDescent="0.45">
      <c r="A335" s="1" t="s">
        <v>10552</v>
      </c>
      <c r="B335" s="1" t="s">
        <v>10553</v>
      </c>
      <c r="C335" s="1" t="s">
        <v>2082</v>
      </c>
      <c r="D335" s="1" t="s">
        <v>52</v>
      </c>
      <c r="E335" s="1" t="s">
        <v>53</v>
      </c>
      <c r="F335" s="1" t="s">
        <v>10554</v>
      </c>
      <c r="G335" s="1" t="s">
        <v>10555</v>
      </c>
      <c r="H335" s="1" t="s">
        <v>10556</v>
      </c>
      <c r="I335" s="1">
        <v>74</v>
      </c>
      <c r="J335" s="1">
        <v>17</v>
      </c>
      <c r="K335" s="1">
        <v>4</v>
      </c>
      <c r="L335" s="1">
        <v>34</v>
      </c>
      <c r="M335" s="1" t="s">
        <v>79</v>
      </c>
      <c r="N335" s="1" t="s">
        <v>80</v>
      </c>
      <c r="O335" s="1" t="s">
        <v>81</v>
      </c>
      <c r="P335" s="1" t="s">
        <v>2085</v>
      </c>
      <c r="Q335" s="1" t="s">
        <v>48</v>
      </c>
      <c r="R335" s="1" t="s">
        <v>48</v>
      </c>
      <c r="S335" s="1" t="s">
        <v>2086</v>
      </c>
      <c r="T335" s="1" t="s">
        <v>2087</v>
      </c>
      <c r="U335" s="1" t="s">
        <v>86</v>
      </c>
      <c r="V335" s="1">
        <v>2021</v>
      </c>
      <c r="W335" s="1">
        <v>40</v>
      </c>
      <c r="X335" s="1" t="s">
        <v>48</v>
      </c>
      <c r="Y335" s="1" t="s">
        <v>48</v>
      </c>
      <c r="Z335" s="1" t="s">
        <v>48</v>
      </c>
      <c r="AA335" s="1" t="s">
        <v>48</v>
      </c>
      <c r="AB335" s="1" t="s">
        <v>48</v>
      </c>
      <c r="AC335" s="1" t="s">
        <v>48</v>
      </c>
      <c r="AD335" s="1" t="s">
        <v>48</v>
      </c>
      <c r="AE335" s="1">
        <v>101002</v>
      </c>
      <c r="AF335" s="1" t="s">
        <v>10557</v>
      </c>
      <c r="AG335" s="1" t="str">
        <f>HYPERLINK("http://dx.doi.org/10.1016/j.uclim.2021.101002","http://dx.doi.org/10.1016/j.uclim.2021.101002")</f>
        <v>http://dx.doi.org/10.1016/j.uclim.2021.101002</v>
      </c>
      <c r="AH335" s="1" t="s">
        <v>48</v>
      </c>
      <c r="AI335" s="1" t="s">
        <v>48</v>
      </c>
      <c r="AJ335" s="1">
        <v>15</v>
      </c>
      <c r="AK335" s="1" t="s">
        <v>2089</v>
      </c>
      <c r="AL335" s="1" t="s">
        <v>944</v>
      </c>
      <c r="AM335" s="1" t="s">
        <v>2090</v>
      </c>
      <c r="AN335" s="1" t="s">
        <v>48</v>
      </c>
      <c r="AO335" s="1" t="s">
        <v>48</v>
      </c>
      <c r="AP335" s="1" t="s">
        <v>48</v>
      </c>
      <c r="AQ335" s="1" t="s">
        <v>48</v>
      </c>
      <c r="AR335" s="1" t="s">
        <v>10610</v>
      </c>
    </row>
    <row r="336" spans="1:44" x14ac:dyDescent="0.45">
      <c r="A336" s="1" t="s">
        <v>10558</v>
      </c>
      <c r="B336" s="1" t="s">
        <v>10559</v>
      </c>
      <c r="C336" s="1" t="s">
        <v>10560</v>
      </c>
      <c r="D336" s="1" t="s">
        <v>52</v>
      </c>
      <c r="E336" s="1" t="s">
        <v>53</v>
      </c>
      <c r="F336" s="1" t="s">
        <v>10561</v>
      </c>
      <c r="G336" s="1" t="s">
        <v>10562</v>
      </c>
      <c r="H336" s="1" t="s">
        <v>10563</v>
      </c>
      <c r="I336" s="1">
        <v>82</v>
      </c>
      <c r="J336" s="1">
        <v>25</v>
      </c>
      <c r="K336" s="1">
        <v>3</v>
      </c>
      <c r="L336" s="1">
        <v>35</v>
      </c>
      <c r="M336" s="1" t="s">
        <v>421</v>
      </c>
      <c r="N336" s="1" t="s">
        <v>422</v>
      </c>
      <c r="O336" s="1" t="s">
        <v>423</v>
      </c>
      <c r="P336" s="1" t="s">
        <v>10564</v>
      </c>
      <c r="Q336" s="1" t="s">
        <v>48</v>
      </c>
      <c r="R336" s="1" t="s">
        <v>48</v>
      </c>
      <c r="S336" s="1" t="s">
        <v>10565</v>
      </c>
      <c r="T336" s="1" t="s">
        <v>10566</v>
      </c>
      <c r="U336" s="1" t="s">
        <v>10643</v>
      </c>
      <c r="V336" s="1">
        <v>2021</v>
      </c>
      <c r="W336" s="1">
        <v>9</v>
      </c>
      <c r="X336" s="1" t="s">
        <v>48</v>
      </c>
      <c r="Y336" s="1" t="s">
        <v>48</v>
      </c>
      <c r="Z336" s="1" t="s">
        <v>48</v>
      </c>
      <c r="AA336" s="1" t="s">
        <v>48</v>
      </c>
      <c r="AB336" s="1" t="s">
        <v>48</v>
      </c>
      <c r="AC336" s="1" t="s">
        <v>48</v>
      </c>
      <c r="AD336" s="1" t="s">
        <v>48</v>
      </c>
      <c r="AE336" s="1">
        <v>640624</v>
      </c>
      <c r="AF336" s="1" t="s">
        <v>10567</v>
      </c>
      <c r="AG336" s="1" t="str">
        <f>HYPERLINK("http://dx.doi.org/10.3389/fevo.2021.640624","http://dx.doi.org/10.3389/fevo.2021.640624")</f>
        <v>http://dx.doi.org/10.3389/fevo.2021.640624</v>
      </c>
      <c r="AH336" s="1" t="s">
        <v>48</v>
      </c>
      <c r="AI336" s="1" t="s">
        <v>48</v>
      </c>
      <c r="AJ336" s="1">
        <v>17</v>
      </c>
      <c r="AK336" s="1" t="s">
        <v>5096</v>
      </c>
      <c r="AL336" s="1" t="s">
        <v>944</v>
      </c>
      <c r="AM336" s="1" t="s">
        <v>439</v>
      </c>
      <c r="AN336" s="1" t="s">
        <v>48</v>
      </c>
      <c r="AO336" s="1" t="s">
        <v>125</v>
      </c>
      <c r="AP336" s="1" t="s">
        <v>48</v>
      </c>
      <c r="AQ336" s="1" t="s">
        <v>48</v>
      </c>
      <c r="AR336" s="1" t="s">
        <v>10610</v>
      </c>
    </row>
    <row r="337" spans="1:44" x14ac:dyDescent="0.45">
      <c r="A337" s="1" t="s">
        <v>10568</v>
      </c>
      <c r="B337" s="1" t="s">
        <v>10569</v>
      </c>
      <c r="C337" s="1" t="s">
        <v>10570</v>
      </c>
      <c r="D337" s="1" t="s">
        <v>52</v>
      </c>
      <c r="E337" s="1" t="s">
        <v>53</v>
      </c>
      <c r="F337" s="1" t="s">
        <v>10571</v>
      </c>
      <c r="G337" s="1" t="s">
        <v>10572</v>
      </c>
      <c r="H337" s="1" t="s">
        <v>10573</v>
      </c>
      <c r="I337" s="1">
        <v>59</v>
      </c>
      <c r="J337" s="1">
        <v>15</v>
      </c>
      <c r="K337" s="1">
        <v>4</v>
      </c>
      <c r="L337" s="1">
        <v>17</v>
      </c>
      <c r="M337" s="1" t="s">
        <v>2607</v>
      </c>
      <c r="N337" s="1" t="s">
        <v>361</v>
      </c>
      <c r="O337" s="1" t="s">
        <v>2608</v>
      </c>
      <c r="P337" s="1" t="s">
        <v>10574</v>
      </c>
      <c r="Q337" s="1" t="s">
        <v>10575</v>
      </c>
      <c r="R337" s="1" t="s">
        <v>48</v>
      </c>
      <c r="S337" s="1" t="s">
        <v>10576</v>
      </c>
      <c r="T337" s="1" t="s">
        <v>10577</v>
      </c>
      <c r="U337" s="1" t="s">
        <v>8370</v>
      </c>
      <c r="V337" s="1">
        <v>2021</v>
      </c>
      <c r="W337" s="1">
        <v>13</v>
      </c>
      <c r="X337" s="1">
        <v>37</v>
      </c>
      <c r="Y337" s="1" t="s">
        <v>48</v>
      </c>
      <c r="Z337" s="1" t="s">
        <v>48</v>
      </c>
      <c r="AA337" s="1" t="s">
        <v>48</v>
      </c>
      <c r="AB337" s="1" t="s">
        <v>48</v>
      </c>
      <c r="AC337" s="1">
        <v>4266</v>
      </c>
      <c r="AD337" s="1">
        <v>4279</v>
      </c>
      <c r="AE337" s="1" t="s">
        <v>48</v>
      </c>
      <c r="AF337" s="1" t="s">
        <v>10578</v>
      </c>
      <c r="AG337" s="1" t="str">
        <f>HYPERLINK("http://dx.doi.org/10.1039/d1ay00963j","http://dx.doi.org/10.1039/d1ay00963j")</f>
        <v>http://dx.doi.org/10.1039/d1ay00963j</v>
      </c>
      <c r="AH337" s="1" t="s">
        <v>48</v>
      </c>
      <c r="AI337" s="1" t="s">
        <v>10612</v>
      </c>
      <c r="AJ337" s="1">
        <v>14</v>
      </c>
      <c r="AK337" s="1" t="s">
        <v>10579</v>
      </c>
      <c r="AL337" s="1" t="s">
        <v>67</v>
      </c>
      <c r="AM337" s="1" t="s">
        <v>10580</v>
      </c>
      <c r="AN337" s="1">
        <v>34591947</v>
      </c>
      <c r="AO337" s="1" t="s">
        <v>48</v>
      </c>
      <c r="AP337" s="1" t="s">
        <v>48</v>
      </c>
      <c r="AQ337" s="1" t="s">
        <v>48</v>
      </c>
      <c r="AR337" s="1" t="s">
        <v>10610</v>
      </c>
    </row>
    <row r="338" spans="1:44" x14ac:dyDescent="0.45">
      <c r="A338" s="1" t="s">
        <v>10581</v>
      </c>
      <c r="B338" s="1" t="s">
        <v>10582</v>
      </c>
      <c r="C338" s="1" t="s">
        <v>10583</v>
      </c>
      <c r="D338" s="1" t="s">
        <v>52</v>
      </c>
      <c r="E338" s="1" t="s">
        <v>539</v>
      </c>
      <c r="F338" s="1" t="s">
        <v>10584</v>
      </c>
      <c r="G338" s="1" t="s">
        <v>10585</v>
      </c>
      <c r="H338" s="1" t="s">
        <v>10586</v>
      </c>
      <c r="I338" s="1">
        <v>1</v>
      </c>
      <c r="J338" s="1">
        <v>0</v>
      </c>
      <c r="K338" s="1">
        <v>0</v>
      </c>
      <c r="L338" s="1">
        <v>3</v>
      </c>
      <c r="M338" s="1" t="s">
        <v>79</v>
      </c>
      <c r="N338" s="1" t="s">
        <v>80</v>
      </c>
      <c r="O338" s="1" t="s">
        <v>81</v>
      </c>
      <c r="P338" s="1" t="s">
        <v>10587</v>
      </c>
      <c r="Q338" s="1" t="s">
        <v>10588</v>
      </c>
      <c r="R338" s="1" t="s">
        <v>48</v>
      </c>
      <c r="S338" s="1" t="s">
        <v>10589</v>
      </c>
      <c r="T338" s="1" t="s">
        <v>10590</v>
      </c>
      <c r="U338" s="1" t="s">
        <v>219</v>
      </c>
      <c r="V338" s="1">
        <v>2021</v>
      </c>
      <c r="W338" s="1">
        <v>171</v>
      </c>
      <c r="X338" s="1" t="s">
        <v>48</v>
      </c>
      <c r="Y338" s="1" t="s">
        <v>48</v>
      </c>
      <c r="Z338" s="1" t="s">
        <v>48</v>
      </c>
      <c r="AA338" s="1" t="s">
        <v>48</v>
      </c>
      <c r="AB338" s="1" t="s">
        <v>48</v>
      </c>
      <c r="AC338" s="1" t="s">
        <v>48</v>
      </c>
      <c r="AD338" s="1" t="s">
        <v>48</v>
      </c>
      <c r="AE338" s="1">
        <v>113904</v>
      </c>
      <c r="AF338" s="1" t="s">
        <v>10591</v>
      </c>
      <c r="AG338" s="1" t="str">
        <f>HYPERLINK("http://dx.doi.org/10.1016/j.indcrop.2021.113904","http://dx.doi.org/10.1016/j.indcrop.2021.113904")</f>
        <v>http://dx.doi.org/10.1016/j.indcrop.2021.113904</v>
      </c>
      <c r="AH338" s="1" t="s">
        <v>48</v>
      </c>
      <c r="AI338" s="1" t="s">
        <v>10612</v>
      </c>
      <c r="AJ338" s="1">
        <v>1</v>
      </c>
      <c r="AK338" s="1" t="s">
        <v>10592</v>
      </c>
      <c r="AL338" s="1" t="s">
        <v>67</v>
      </c>
      <c r="AM338" s="1" t="s">
        <v>3370</v>
      </c>
      <c r="AN338" s="1" t="s">
        <v>48</v>
      </c>
      <c r="AO338" s="1" t="s">
        <v>48</v>
      </c>
      <c r="AP338" s="1" t="s">
        <v>48</v>
      </c>
      <c r="AQ338" s="1" t="s">
        <v>48</v>
      </c>
      <c r="AR338" s="1" t="s">
        <v>10610</v>
      </c>
    </row>
    <row r="339" spans="1:44" x14ac:dyDescent="0.45">
      <c r="A339" s="1" t="s">
        <v>10602</v>
      </c>
      <c r="B339" s="1" t="s">
        <v>10603</v>
      </c>
      <c r="C339" s="1" t="s">
        <v>8301</v>
      </c>
      <c r="D339" s="1" t="s">
        <v>52</v>
      </c>
      <c r="E339" s="1" t="s">
        <v>53</v>
      </c>
      <c r="F339" s="1" t="s">
        <v>10604</v>
      </c>
      <c r="G339" s="1" t="s">
        <v>10605</v>
      </c>
      <c r="H339" s="1" t="s">
        <v>10606</v>
      </c>
      <c r="I339" s="1">
        <v>97</v>
      </c>
      <c r="J339" s="1">
        <v>27</v>
      </c>
      <c r="K339" s="1">
        <v>1</v>
      </c>
      <c r="L339" s="1">
        <v>20</v>
      </c>
      <c r="M339" s="1" t="s">
        <v>410</v>
      </c>
      <c r="N339" s="1" t="s">
        <v>411</v>
      </c>
      <c r="O339" s="1" t="s">
        <v>412</v>
      </c>
      <c r="P339" s="1" t="s">
        <v>48</v>
      </c>
      <c r="Q339" s="1" t="s">
        <v>8305</v>
      </c>
      <c r="R339" s="1" t="s">
        <v>48</v>
      </c>
      <c r="S339" s="1" t="s">
        <v>8306</v>
      </c>
      <c r="T339" s="1" t="s">
        <v>8307</v>
      </c>
      <c r="U339" s="1" t="s">
        <v>10658</v>
      </c>
      <c r="V339" s="1">
        <v>2021</v>
      </c>
      <c r="W339" s="1">
        <v>4</v>
      </c>
      <c r="X339" s="1">
        <v>1</v>
      </c>
      <c r="Y339" s="1" t="s">
        <v>48</v>
      </c>
      <c r="Z339" s="1" t="s">
        <v>48</v>
      </c>
      <c r="AA339" s="1" t="s">
        <v>48</v>
      </c>
      <c r="AB339" s="1" t="s">
        <v>48</v>
      </c>
      <c r="AC339" s="1" t="s">
        <v>48</v>
      </c>
      <c r="AD339" s="1" t="s">
        <v>48</v>
      </c>
      <c r="AE339" s="1">
        <v>1013</v>
      </c>
      <c r="AF339" s="1" t="s">
        <v>10607</v>
      </c>
      <c r="AG339" s="1" t="str">
        <f>HYPERLINK("http://dx.doi.org/10.1038/s42003-021-02546-8","http://dx.doi.org/10.1038/s42003-021-02546-8")</f>
        <v>http://dx.doi.org/10.1038/s42003-021-02546-8</v>
      </c>
      <c r="AH339" s="1" t="s">
        <v>48</v>
      </c>
      <c r="AI339" s="1" t="s">
        <v>48</v>
      </c>
      <c r="AJ339" s="1">
        <v>15</v>
      </c>
      <c r="AK339" s="1" t="s">
        <v>8309</v>
      </c>
      <c r="AL339" s="1" t="s">
        <v>67</v>
      </c>
      <c r="AM339" s="1" t="s">
        <v>8310</v>
      </c>
      <c r="AN339" s="1">
        <v>34446827</v>
      </c>
      <c r="AO339" s="1" t="s">
        <v>10608</v>
      </c>
      <c r="AP339" s="1" t="s">
        <v>48</v>
      </c>
      <c r="AQ339" s="1" t="s">
        <v>48</v>
      </c>
      <c r="AR339" s="1" t="s">
        <v>10610</v>
      </c>
    </row>
    <row r="340" spans="1:44" x14ac:dyDescent="0.45">
      <c r="A340" s="1" t="s">
        <v>10593</v>
      </c>
      <c r="B340" s="1" t="s">
        <v>10594</v>
      </c>
      <c r="C340" s="1" t="s">
        <v>10583</v>
      </c>
      <c r="D340" s="1" t="s">
        <v>52</v>
      </c>
      <c r="E340" s="1" t="s">
        <v>1114</v>
      </c>
      <c r="F340" s="1" t="s">
        <v>10595</v>
      </c>
      <c r="G340" s="1" t="s">
        <v>10585</v>
      </c>
      <c r="H340" s="1" t="s">
        <v>10586</v>
      </c>
      <c r="I340" s="1">
        <v>160</v>
      </c>
      <c r="J340" s="1">
        <v>8</v>
      </c>
      <c r="K340" s="1">
        <v>0</v>
      </c>
      <c r="L340" s="1">
        <v>20</v>
      </c>
      <c r="M340" s="1" t="s">
        <v>79</v>
      </c>
      <c r="N340" s="1" t="s">
        <v>80</v>
      </c>
      <c r="O340" s="1" t="s">
        <v>81</v>
      </c>
      <c r="P340" s="1" t="s">
        <v>10587</v>
      </c>
      <c r="Q340" s="1" t="s">
        <v>10588</v>
      </c>
      <c r="R340" s="1" t="s">
        <v>48</v>
      </c>
      <c r="S340" s="1" t="s">
        <v>10589</v>
      </c>
      <c r="T340" s="1" t="s">
        <v>10590</v>
      </c>
      <c r="U340" s="1" t="s">
        <v>768</v>
      </c>
      <c r="V340" s="1">
        <v>2021</v>
      </c>
      <c r="W340" s="1">
        <v>170</v>
      </c>
      <c r="X340" s="1" t="s">
        <v>48</v>
      </c>
      <c r="Y340" s="1" t="s">
        <v>48</v>
      </c>
      <c r="Z340" s="1" t="s">
        <v>48</v>
      </c>
      <c r="AA340" s="1" t="s">
        <v>48</v>
      </c>
      <c r="AB340" s="1" t="s">
        <v>48</v>
      </c>
      <c r="AC340" s="1" t="s">
        <v>48</v>
      </c>
      <c r="AD340" s="1" t="s">
        <v>48</v>
      </c>
      <c r="AE340" s="1">
        <v>113807</v>
      </c>
      <c r="AF340" s="1" t="s">
        <v>10596</v>
      </c>
      <c r="AG340" s="1" t="str">
        <f>HYPERLINK("http://dx.doi.org/10.1016/j.indcrop.2021.113807","http://dx.doi.org/10.1016/j.indcrop.2021.113807")</f>
        <v>http://dx.doi.org/10.1016/j.indcrop.2021.113807</v>
      </c>
      <c r="AH340" s="1" t="s">
        <v>48</v>
      </c>
      <c r="AI340" s="1" t="s">
        <v>10623</v>
      </c>
      <c r="AJ340" s="1">
        <v>12</v>
      </c>
      <c r="AK340" s="1" t="s">
        <v>10592</v>
      </c>
      <c r="AL340" s="1" t="s">
        <v>67</v>
      </c>
      <c r="AM340" s="1" t="s">
        <v>3370</v>
      </c>
      <c r="AN340" s="1" t="s">
        <v>48</v>
      </c>
      <c r="AO340" s="1" t="s">
        <v>550</v>
      </c>
      <c r="AP340" s="1" t="s">
        <v>48</v>
      </c>
      <c r="AQ340" s="1" t="s">
        <v>48</v>
      </c>
      <c r="AR340" s="1" t="s">
        <v>10610</v>
      </c>
    </row>
    <row r="341" spans="1:44" x14ac:dyDescent="0.45">
      <c r="A341" s="1" t="s">
        <v>10597</v>
      </c>
      <c r="B341" s="1" t="s">
        <v>10598</v>
      </c>
      <c r="C341" s="1" t="s">
        <v>7491</v>
      </c>
      <c r="D341" s="1" t="s">
        <v>52</v>
      </c>
      <c r="E341" s="1" t="s">
        <v>53</v>
      </c>
      <c r="F341" s="1" t="s">
        <v>10599</v>
      </c>
      <c r="G341" s="1" t="s">
        <v>10600</v>
      </c>
      <c r="H341" s="1" t="s">
        <v>8587</v>
      </c>
      <c r="I341" s="1">
        <v>63</v>
      </c>
      <c r="J341" s="1">
        <v>62</v>
      </c>
      <c r="K341" s="1">
        <v>12</v>
      </c>
      <c r="L341" s="1">
        <v>118</v>
      </c>
      <c r="M341" s="1" t="s">
        <v>79</v>
      </c>
      <c r="N341" s="1" t="s">
        <v>80</v>
      </c>
      <c r="O341" s="1" t="s">
        <v>81</v>
      </c>
      <c r="P341" s="1" t="s">
        <v>7495</v>
      </c>
      <c r="Q341" s="1" t="s">
        <v>7496</v>
      </c>
      <c r="R341" s="1" t="s">
        <v>48</v>
      </c>
      <c r="S341" s="1" t="s">
        <v>7497</v>
      </c>
      <c r="T341" s="1" t="s">
        <v>7498</v>
      </c>
      <c r="U341" s="1" t="s">
        <v>352</v>
      </c>
      <c r="V341" s="1">
        <v>2021</v>
      </c>
      <c r="W341" s="1">
        <v>74</v>
      </c>
      <c r="X341" s="1" t="s">
        <v>48</v>
      </c>
      <c r="Y341" s="1" t="s">
        <v>48</v>
      </c>
      <c r="Z341" s="1" t="s">
        <v>48</v>
      </c>
      <c r="AA341" s="1" t="s">
        <v>48</v>
      </c>
      <c r="AB341" s="1" t="s">
        <v>48</v>
      </c>
      <c r="AC341" s="1" t="s">
        <v>48</v>
      </c>
      <c r="AD341" s="1" t="s">
        <v>48</v>
      </c>
      <c r="AE341" s="1">
        <v>103196</v>
      </c>
      <c r="AF341" s="1" t="s">
        <v>10601</v>
      </c>
      <c r="AG341" s="1" t="str">
        <f>HYPERLINK("http://dx.doi.org/10.1016/j.scs.2021.103196","http://dx.doi.org/10.1016/j.scs.2021.103196")</f>
        <v>http://dx.doi.org/10.1016/j.scs.2021.103196</v>
      </c>
      <c r="AH341" s="1" t="s">
        <v>48</v>
      </c>
      <c r="AI341" s="1" t="s">
        <v>10623</v>
      </c>
      <c r="AJ341" s="1">
        <v>13</v>
      </c>
      <c r="AK341" s="1" t="s">
        <v>7500</v>
      </c>
      <c r="AL341" s="1" t="s">
        <v>944</v>
      </c>
      <c r="AM341" s="1" t="s">
        <v>7501</v>
      </c>
      <c r="AN341" s="1" t="s">
        <v>48</v>
      </c>
      <c r="AO341" s="1" t="s">
        <v>48</v>
      </c>
      <c r="AP341" s="1" t="s">
        <v>48</v>
      </c>
      <c r="AQ341" s="1" t="s">
        <v>48</v>
      </c>
      <c r="AR341" s="1" t="s">
        <v>10610</v>
      </c>
    </row>
  </sheetData>
  <sheetProtection algorithmName="SHA-512" hashValue="Cs9iXebMSYqwLsGdXNGZIQ88cLxOjyHydRagNFwdEC2KmQ9OrMO6L/wA6V4nU6TSH6idMXK6Is57DqWSp04jtg==" saltValue="iyhWFM5IkXu3UEcQ93xP2Q==" spinCount="100000" sheet="1" objects="1" scenarios="1" formatCells="0" formatColumns="0" sort="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3"/>
  <sheetViews>
    <sheetView topLeftCell="M1" workbookViewId="0">
      <pane ySplit="1" topLeftCell="A2" activePane="bottomLeft" state="frozen"/>
      <selection pane="bottomLeft" activeCell="AE1" sqref="A1:XFD1048576"/>
    </sheetView>
  </sheetViews>
  <sheetFormatPr defaultRowHeight="12.5" x14ac:dyDescent="0.25"/>
  <sheetData>
    <row r="1" spans="1:27" s="1" customFormat="1" ht="18.5" x14ac:dyDescent="0.45">
      <c r="A1" s="1" t="s">
        <v>1</v>
      </c>
      <c r="B1" s="1" t="s">
        <v>2</v>
      </c>
      <c r="C1" s="1" t="s">
        <v>3</v>
      </c>
      <c r="D1" s="1" t="s">
        <v>5</v>
      </c>
      <c r="E1" s="3" t="s">
        <v>24</v>
      </c>
      <c r="F1" s="1" t="s">
        <v>9</v>
      </c>
      <c r="G1" s="1" t="s">
        <v>10</v>
      </c>
      <c r="H1" s="1" t="s">
        <v>11</v>
      </c>
      <c r="I1" s="1" t="s">
        <v>12</v>
      </c>
      <c r="J1" s="1" t="s">
        <v>10609</v>
      </c>
      <c r="K1" s="1" t="s">
        <v>13</v>
      </c>
      <c r="L1" s="1" t="s">
        <v>14</v>
      </c>
      <c r="M1" s="1" t="s">
        <v>15</v>
      </c>
      <c r="N1" s="1" t="s">
        <v>16</v>
      </c>
      <c r="O1" s="1" t="s">
        <v>17</v>
      </c>
      <c r="P1" s="1" t="s">
        <v>18</v>
      </c>
      <c r="Q1" s="1" t="s">
        <v>19</v>
      </c>
      <c r="R1" s="1" t="s">
        <v>25</v>
      </c>
      <c r="S1" s="1" t="s">
        <v>26</v>
      </c>
      <c r="T1" s="1" t="s">
        <v>34</v>
      </c>
      <c r="U1" s="1" t="s">
        <v>35</v>
      </c>
      <c r="V1" s="1" t="s">
        <v>38</v>
      </c>
      <c r="W1" s="1" t="s">
        <v>39</v>
      </c>
      <c r="X1" s="1" t="s">
        <v>40</v>
      </c>
      <c r="Y1" s="1" t="s">
        <v>41</v>
      </c>
      <c r="Z1" s="1" t="s">
        <v>42</v>
      </c>
      <c r="AA1" s="1" t="s">
        <v>43</v>
      </c>
    </row>
    <row r="2" spans="1:27" s="1" customFormat="1" ht="18.5" x14ac:dyDescent="0.45">
      <c r="A2" s="1" t="s">
        <v>153</v>
      </c>
      <c r="B2" s="1" t="s">
        <v>154</v>
      </c>
      <c r="C2" s="1" t="s">
        <v>155</v>
      </c>
      <c r="D2" s="1" t="s">
        <v>53</v>
      </c>
      <c r="E2" s="2">
        <v>2022</v>
      </c>
      <c r="F2" s="1" t="s">
        <v>156</v>
      </c>
      <c r="G2" s="1" t="s">
        <v>58</v>
      </c>
      <c r="H2" s="1" t="s">
        <v>157</v>
      </c>
      <c r="I2" s="1">
        <v>106</v>
      </c>
      <c r="J2" s="1">
        <v>20</v>
      </c>
      <c r="K2" s="1">
        <v>6</v>
      </c>
      <c r="L2" s="1">
        <v>60</v>
      </c>
      <c r="M2" s="1" t="s">
        <v>60</v>
      </c>
      <c r="N2" s="1" t="s">
        <v>158</v>
      </c>
      <c r="O2" s="1" t="s">
        <v>159</v>
      </c>
      <c r="P2" s="1" t="s">
        <v>160</v>
      </c>
      <c r="Q2" s="1" t="s">
        <v>161</v>
      </c>
      <c r="R2" s="1">
        <v>379</v>
      </c>
      <c r="S2" s="1" t="s">
        <v>48</v>
      </c>
      <c r="T2" s="1" t="s">
        <v>163</v>
      </c>
      <c r="U2" s="1" t="str">
        <f>HYPERLINK("http://dx.doi.org/10.1016/j.jclepro.2022.134735","http://dx.doi.org/10.1016/j.jclepro.2022.134735")</f>
        <v>http://dx.doi.org/10.1016/j.jclepro.2022.134735</v>
      </c>
      <c r="V2" s="1">
        <v>18</v>
      </c>
      <c r="W2" s="1" t="s">
        <v>164</v>
      </c>
      <c r="X2" s="1" t="s">
        <v>67</v>
      </c>
      <c r="Y2" s="1" t="s">
        <v>165</v>
      </c>
      <c r="Z2" s="1" t="s">
        <v>48</v>
      </c>
      <c r="AA2" s="1" t="s">
        <v>48</v>
      </c>
    </row>
    <row r="3" spans="1:27" s="1" customFormat="1" ht="18.5" x14ac:dyDescent="0.45">
      <c r="A3" s="1" t="s">
        <v>166</v>
      </c>
      <c r="B3" s="1" t="s">
        <v>167</v>
      </c>
      <c r="C3" s="1" t="s">
        <v>168</v>
      </c>
      <c r="D3" s="1" t="s">
        <v>53</v>
      </c>
      <c r="E3" s="2">
        <v>2022</v>
      </c>
      <c r="F3" s="1" t="s">
        <v>169</v>
      </c>
      <c r="G3" s="1" t="s">
        <v>58</v>
      </c>
      <c r="H3" s="1" t="s">
        <v>170</v>
      </c>
      <c r="I3" s="1">
        <v>42</v>
      </c>
      <c r="J3" s="1">
        <v>0</v>
      </c>
      <c r="K3" s="1">
        <v>2</v>
      </c>
      <c r="L3" s="1">
        <v>11</v>
      </c>
      <c r="M3" s="1" t="s">
        <v>145</v>
      </c>
      <c r="N3" s="1" t="s">
        <v>146</v>
      </c>
      <c r="O3" s="1" t="s">
        <v>147</v>
      </c>
      <c r="P3" s="1" t="s">
        <v>171</v>
      </c>
      <c r="Q3" s="1" t="s">
        <v>172</v>
      </c>
      <c r="R3" s="1">
        <v>15</v>
      </c>
      <c r="S3" s="1">
        <v>2</v>
      </c>
      <c r="T3" s="1" t="s">
        <v>176</v>
      </c>
      <c r="U3" s="1" t="str">
        <f>HYPERLINK("http://dx.doi.org/10.1080/1751696X.2022.2085527","http://dx.doi.org/10.1080/1751696X.2022.2085527")</f>
        <v>http://dx.doi.org/10.1080/1751696X.2022.2085527</v>
      </c>
      <c r="V3" s="1">
        <v>17</v>
      </c>
      <c r="W3" s="1" t="s">
        <v>177</v>
      </c>
      <c r="X3" s="1" t="s">
        <v>178</v>
      </c>
      <c r="Y3" s="1" t="s">
        <v>177</v>
      </c>
      <c r="Z3" s="1" t="s">
        <v>48</v>
      </c>
      <c r="AA3" s="1" t="s">
        <v>48</v>
      </c>
    </row>
    <row r="4" spans="1:27" s="1" customFormat="1" ht="18.5" x14ac:dyDescent="0.45">
      <c r="A4" s="1" t="s">
        <v>179</v>
      </c>
      <c r="B4" s="1" t="s">
        <v>180</v>
      </c>
      <c r="C4" s="1" t="s">
        <v>181</v>
      </c>
      <c r="D4" s="1" t="s">
        <v>53</v>
      </c>
      <c r="E4" s="2">
        <v>2022</v>
      </c>
      <c r="F4" s="1" t="s">
        <v>182</v>
      </c>
      <c r="G4" s="1" t="s">
        <v>115</v>
      </c>
      <c r="H4" s="1" t="s">
        <v>183</v>
      </c>
      <c r="I4" s="1">
        <v>46</v>
      </c>
      <c r="J4" s="1">
        <v>5</v>
      </c>
      <c r="K4" s="1">
        <v>3</v>
      </c>
      <c r="L4" s="1">
        <v>22</v>
      </c>
      <c r="M4" s="1" t="s">
        <v>79</v>
      </c>
      <c r="N4" s="1" t="s">
        <v>80</v>
      </c>
      <c r="O4" s="1" t="s">
        <v>81</v>
      </c>
      <c r="P4" s="1" t="s">
        <v>184</v>
      </c>
      <c r="Q4" s="1" t="s">
        <v>185</v>
      </c>
      <c r="R4" s="1">
        <v>110</v>
      </c>
      <c r="S4" s="1" t="s">
        <v>48</v>
      </c>
      <c r="T4" s="1" t="s">
        <v>186</v>
      </c>
      <c r="U4" s="1" t="str">
        <f>HYPERLINK("http://dx.doi.org/10.1016/j.cnsns.2022.106380","http://dx.doi.org/10.1016/j.cnsns.2022.106380")</f>
        <v>http://dx.doi.org/10.1016/j.cnsns.2022.106380</v>
      </c>
      <c r="V4" s="1">
        <v>27</v>
      </c>
      <c r="W4" s="1" t="s">
        <v>187</v>
      </c>
      <c r="X4" s="1" t="s">
        <v>67</v>
      </c>
      <c r="Y4" s="1" t="s">
        <v>188</v>
      </c>
      <c r="Z4" s="1" t="s">
        <v>48</v>
      </c>
      <c r="AA4" s="1" t="s">
        <v>48</v>
      </c>
    </row>
    <row r="5" spans="1:27" s="1" customFormat="1" ht="18.5" x14ac:dyDescent="0.45">
      <c r="A5" s="1" t="s">
        <v>248</v>
      </c>
      <c r="B5" s="1" t="s">
        <v>249</v>
      </c>
      <c r="C5" s="1" t="s">
        <v>250</v>
      </c>
      <c r="D5" s="1" t="s">
        <v>53</v>
      </c>
      <c r="E5" s="2">
        <v>2022</v>
      </c>
      <c r="F5" s="1" t="s">
        <v>251</v>
      </c>
      <c r="G5" s="1" t="s">
        <v>58</v>
      </c>
      <c r="H5" s="1" t="s">
        <v>227</v>
      </c>
      <c r="I5" s="1">
        <v>49</v>
      </c>
      <c r="J5" s="1">
        <v>5</v>
      </c>
      <c r="K5" s="1">
        <v>0</v>
      </c>
      <c r="L5" s="1">
        <v>5</v>
      </c>
      <c r="M5" s="1" t="s">
        <v>252</v>
      </c>
      <c r="N5" s="1" t="s">
        <v>253</v>
      </c>
      <c r="O5" s="1" t="s">
        <v>254</v>
      </c>
      <c r="P5" s="1" t="s">
        <v>255</v>
      </c>
      <c r="Q5" s="1" t="s">
        <v>256</v>
      </c>
      <c r="R5" s="1">
        <v>41</v>
      </c>
      <c r="S5" s="1">
        <v>8</v>
      </c>
      <c r="T5" s="1" t="s">
        <v>259</v>
      </c>
      <c r="U5" s="1" t="str">
        <f>HYPERLINK("http://dx.doi.org/10.1007/s40314-022-02099-4","http://dx.doi.org/10.1007/s40314-022-02099-4")</f>
        <v>http://dx.doi.org/10.1007/s40314-022-02099-4</v>
      </c>
      <c r="V5" s="1">
        <v>29</v>
      </c>
      <c r="W5" s="1" t="s">
        <v>260</v>
      </c>
      <c r="X5" s="1" t="s">
        <v>67</v>
      </c>
      <c r="Y5" s="1" t="s">
        <v>137</v>
      </c>
      <c r="Z5" s="1" t="s">
        <v>48</v>
      </c>
      <c r="AA5" s="1" t="s">
        <v>48</v>
      </c>
    </row>
    <row r="6" spans="1:27" s="1" customFormat="1" ht="18.5" x14ac:dyDescent="0.45">
      <c r="A6" s="1" t="s">
        <v>261</v>
      </c>
      <c r="B6" s="1" t="s">
        <v>262</v>
      </c>
      <c r="C6" s="1" t="s">
        <v>263</v>
      </c>
      <c r="D6" s="1" t="s">
        <v>53</v>
      </c>
      <c r="E6" s="2">
        <v>2022</v>
      </c>
      <c r="F6" s="1" t="s">
        <v>264</v>
      </c>
      <c r="G6" s="1" t="s">
        <v>58</v>
      </c>
      <c r="H6" s="1" t="s">
        <v>265</v>
      </c>
      <c r="I6" s="1">
        <v>61</v>
      </c>
      <c r="J6" s="1">
        <v>3</v>
      </c>
      <c r="K6" s="1">
        <v>0</v>
      </c>
      <c r="L6" s="1">
        <v>2</v>
      </c>
      <c r="M6" s="1" t="s">
        <v>266</v>
      </c>
      <c r="N6" s="1" t="s">
        <v>267</v>
      </c>
      <c r="O6" s="1" t="s">
        <v>268</v>
      </c>
      <c r="P6" s="1" t="s">
        <v>269</v>
      </c>
      <c r="Q6" s="1" t="s">
        <v>270</v>
      </c>
      <c r="R6" s="1">
        <v>232</v>
      </c>
      <c r="S6" s="1" t="s">
        <v>48</v>
      </c>
      <c r="T6" s="1" t="s">
        <v>274</v>
      </c>
      <c r="U6" s="1" t="str">
        <f>HYPERLINK("http://dx.doi.org/10.1016/j.ecoenv.2022.113275","http://dx.doi.org/10.1016/j.ecoenv.2022.113275")</f>
        <v>http://dx.doi.org/10.1016/j.ecoenv.2022.113275</v>
      </c>
      <c r="V6" s="1">
        <v>13</v>
      </c>
      <c r="W6" s="1" t="s">
        <v>275</v>
      </c>
      <c r="X6" s="1" t="s">
        <v>67</v>
      </c>
      <c r="Y6" s="1" t="s">
        <v>276</v>
      </c>
      <c r="Z6" s="1">
        <v>35131584</v>
      </c>
      <c r="AA6" s="1" t="s">
        <v>125</v>
      </c>
    </row>
    <row r="7" spans="1:27" s="1" customFormat="1" ht="18.5" x14ac:dyDescent="0.45">
      <c r="A7" s="1" t="s">
        <v>325</v>
      </c>
      <c r="B7" s="1" t="s">
        <v>326</v>
      </c>
      <c r="C7" s="1" t="s">
        <v>327</v>
      </c>
      <c r="D7" s="1" t="s">
        <v>53</v>
      </c>
      <c r="E7" s="2">
        <v>2022</v>
      </c>
      <c r="F7" s="1" t="s">
        <v>328</v>
      </c>
      <c r="G7" s="1" t="s">
        <v>58</v>
      </c>
      <c r="H7" s="1" t="s">
        <v>329</v>
      </c>
      <c r="I7" s="1">
        <v>77</v>
      </c>
      <c r="J7" s="1">
        <v>14</v>
      </c>
      <c r="K7" s="1">
        <v>0</v>
      </c>
      <c r="L7" s="1">
        <v>10</v>
      </c>
      <c r="M7" s="1" t="s">
        <v>330</v>
      </c>
      <c r="N7" s="1" t="s">
        <v>331</v>
      </c>
      <c r="O7" s="1" t="s">
        <v>332</v>
      </c>
      <c r="P7" s="1" t="s">
        <v>333</v>
      </c>
      <c r="Q7" s="1" t="s">
        <v>48</v>
      </c>
      <c r="R7" s="1">
        <v>17</v>
      </c>
      <c r="S7" s="1">
        <v>4</v>
      </c>
      <c r="T7" s="1" t="s">
        <v>334</v>
      </c>
      <c r="U7" s="1" t="str">
        <f>HYPERLINK("http://dx.doi.org/10.1371/journal.pone.0267302","http://dx.doi.org/10.1371/journal.pone.0267302")</f>
        <v>http://dx.doi.org/10.1371/journal.pone.0267302</v>
      </c>
      <c r="V7" s="1">
        <v>29</v>
      </c>
      <c r="W7" s="1" t="s">
        <v>335</v>
      </c>
      <c r="X7" s="1" t="s">
        <v>67</v>
      </c>
      <c r="Y7" s="1" t="s">
        <v>336</v>
      </c>
      <c r="Z7" s="1">
        <v>35482744</v>
      </c>
      <c r="AA7" s="1" t="s">
        <v>337</v>
      </c>
    </row>
    <row r="8" spans="1:27" s="1" customFormat="1" ht="18.5" x14ac:dyDescent="0.45">
      <c r="A8" s="1" t="s">
        <v>391</v>
      </c>
      <c r="B8" s="1" t="s">
        <v>392</v>
      </c>
      <c r="C8" s="1" t="s">
        <v>393</v>
      </c>
      <c r="D8" s="1" t="s">
        <v>53</v>
      </c>
      <c r="E8" s="2">
        <v>2022</v>
      </c>
      <c r="F8" s="1" t="s">
        <v>394</v>
      </c>
      <c r="G8" s="1" t="s">
        <v>58</v>
      </c>
      <c r="H8" s="1" t="s">
        <v>227</v>
      </c>
      <c r="I8" s="1">
        <v>51</v>
      </c>
      <c r="J8" s="1">
        <v>9</v>
      </c>
      <c r="K8" s="1">
        <v>0</v>
      </c>
      <c r="L8" s="1">
        <v>6</v>
      </c>
      <c r="M8" s="1" t="s">
        <v>395</v>
      </c>
      <c r="N8" s="1" t="s">
        <v>396</v>
      </c>
      <c r="O8" s="1" t="s">
        <v>397</v>
      </c>
      <c r="P8" s="1" t="s">
        <v>398</v>
      </c>
      <c r="Q8" s="1" t="s">
        <v>399</v>
      </c>
      <c r="R8" s="1">
        <v>37</v>
      </c>
      <c r="S8" s="1">
        <v>1</v>
      </c>
      <c r="T8" s="1" t="s">
        <v>400</v>
      </c>
      <c r="U8" s="1" t="str">
        <f>HYPERLINK("http://dx.doi.org/10.1007/s11766-022-4476-8","http://dx.doi.org/10.1007/s11766-022-4476-8")</f>
        <v>http://dx.doi.org/10.1007/s11766-022-4476-8</v>
      </c>
      <c r="V8" s="1">
        <v>20</v>
      </c>
      <c r="W8" s="1" t="s">
        <v>260</v>
      </c>
      <c r="X8" s="1" t="s">
        <v>67</v>
      </c>
      <c r="Y8" s="1" t="s">
        <v>137</v>
      </c>
      <c r="Z8" s="1" t="s">
        <v>48</v>
      </c>
      <c r="AA8" s="1" t="s">
        <v>48</v>
      </c>
    </row>
    <row r="9" spans="1:27" s="1" customFormat="1" ht="18.5" x14ac:dyDescent="0.45">
      <c r="A9" s="1" t="s">
        <v>427</v>
      </c>
      <c r="B9" s="1" t="s">
        <v>428</v>
      </c>
      <c r="C9" s="1" t="s">
        <v>429</v>
      </c>
      <c r="D9" s="1" t="s">
        <v>53</v>
      </c>
      <c r="E9" s="2">
        <v>2022</v>
      </c>
      <c r="F9" s="1" t="s">
        <v>430</v>
      </c>
      <c r="G9" s="1" t="s">
        <v>58</v>
      </c>
      <c r="H9" s="1" t="s">
        <v>431</v>
      </c>
      <c r="I9" s="1">
        <v>42</v>
      </c>
      <c r="J9" s="1">
        <v>16</v>
      </c>
      <c r="K9" s="1">
        <v>0</v>
      </c>
      <c r="L9" s="1">
        <v>13</v>
      </c>
      <c r="M9" s="1" t="s">
        <v>252</v>
      </c>
      <c r="N9" s="1" t="s">
        <v>253</v>
      </c>
      <c r="O9" s="1" t="s">
        <v>254</v>
      </c>
      <c r="P9" s="1" t="s">
        <v>432</v>
      </c>
      <c r="Q9" s="1" t="s">
        <v>433</v>
      </c>
      <c r="R9" s="1">
        <v>8</v>
      </c>
      <c r="S9" s="1">
        <v>3</v>
      </c>
      <c r="T9" s="1" t="s">
        <v>437</v>
      </c>
      <c r="U9" s="1" t="str">
        <f>HYPERLINK("http://dx.doi.org/10.1007/s40808-022-01359-w","http://dx.doi.org/10.1007/s40808-022-01359-w")</f>
        <v>http://dx.doi.org/10.1007/s40808-022-01359-w</v>
      </c>
      <c r="V9" s="1">
        <v>16</v>
      </c>
      <c r="W9" s="1" t="s">
        <v>438</v>
      </c>
      <c r="X9" s="1" t="s">
        <v>124</v>
      </c>
      <c r="Y9" s="1" t="s">
        <v>439</v>
      </c>
      <c r="Z9" s="1" t="s">
        <v>48</v>
      </c>
      <c r="AA9" s="1" t="s">
        <v>48</v>
      </c>
    </row>
    <row r="10" spans="1:27" s="1" customFormat="1" ht="18.5" x14ac:dyDescent="0.45">
      <c r="A10" s="1" t="s">
        <v>325</v>
      </c>
      <c r="B10" s="1" t="s">
        <v>563</v>
      </c>
      <c r="C10" s="1" t="s">
        <v>564</v>
      </c>
      <c r="D10" s="1" t="s">
        <v>53</v>
      </c>
      <c r="E10" s="2">
        <v>2022</v>
      </c>
      <c r="F10" s="1" t="s">
        <v>565</v>
      </c>
      <c r="G10" s="1" t="s">
        <v>58</v>
      </c>
      <c r="H10" s="1" t="s">
        <v>566</v>
      </c>
      <c r="I10" s="1">
        <v>70</v>
      </c>
      <c r="J10" s="1">
        <v>13</v>
      </c>
      <c r="K10" s="1">
        <v>0</v>
      </c>
      <c r="L10" s="1">
        <v>10</v>
      </c>
      <c r="M10" s="1" t="s">
        <v>421</v>
      </c>
      <c r="N10" s="1" t="s">
        <v>422</v>
      </c>
      <c r="O10" s="1" t="s">
        <v>423</v>
      </c>
      <c r="P10" s="1" t="s">
        <v>48</v>
      </c>
      <c r="Q10" s="1" t="s">
        <v>567</v>
      </c>
      <c r="R10" s="1">
        <v>2</v>
      </c>
      <c r="S10" s="1" t="s">
        <v>48</v>
      </c>
      <c r="T10" s="1" t="s">
        <v>568</v>
      </c>
      <c r="U10" s="1" t="str">
        <f>HYPERLINK("http://dx.doi.org/10.3389/ffunb.2021.796010","http://dx.doi.org/10.3389/ffunb.2021.796010")</f>
        <v>http://dx.doi.org/10.3389/ffunb.2021.796010</v>
      </c>
      <c r="V10" s="1">
        <v>19</v>
      </c>
      <c r="W10" s="1" t="s">
        <v>569</v>
      </c>
      <c r="X10" s="1" t="s">
        <v>124</v>
      </c>
      <c r="Y10" s="1" t="s">
        <v>569</v>
      </c>
      <c r="Z10" s="1">
        <v>37744113</v>
      </c>
      <c r="AA10" s="1" t="s">
        <v>337</v>
      </c>
    </row>
    <row r="11" spans="1:27" s="1" customFormat="1" ht="18.5" x14ac:dyDescent="0.45">
      <c r="A11" s="1" t="s">
        <v>600</v>
      </c>
      <c r="B11" s="1" t="s">
        <v>601</v>
      </c>
      <c r="C11" s="1" t="s">
        <v>602</v>
      </c>
      <c r="D11" s="1" t="s">
        <v>53</v>
      </c>
      <c r="E11" s="2">
        <v>2022</v>
      </c>
      <c r="F11" s="1" t="s">
        <v>603</v>
      </c>
      <c r="G11" s="1" t="s">
        <v>58</v>
      </c>
      <c r="H11" s="1" t="s">
        <v>604</v>
      </c>
      <c r="I11" s="1">
        <v>57</v>
      </c>
      <c r="J11" s="1">
        <v>0</v>
      </c>
      <c r="K11" s="1">
        <v>2</v>
      </c>
      <c r="L11" s="1">
        <v>7</v>
      </c>
      <c r="M11" s="1" t="s">
        <v>605</v>
      </c>
      <c r="N11" s="1" t="s">
        <v>239</v>
      </c>
      <c r="O11" s="1" t="s">
        <v>606</v>
      </c>
      <c r="P11" s="1" t="s">
        <v>607</v>
      </c>
      <c r="Q11" s="1" t="s">
        <v>608</v>
      </c>
      <c r="R11" s="1">
        <v>59</v>
      </c>
      <c r="S11" s="1">
        <v>3</v>
      </c>
      <c r="T11" s="1" t="s">
        <v>609</v>
      </c>
      <c r="U11" s="1" t="str">
        <f>HYPERLINK("http://dx.doi.org/10.1177/00194646221109299","http://dx.doi.org/10.1177/00194646221109299")</f>
        <v>http://dx.doi.org/10.1177/00194646221109299</v>
      </c>
      <c r="V11" s="1">
        <v>37</v>
      </c>
      <c r="W11" s="1" t="s">
        <v>610</v>
      </c>
      <c r="X11" s="1" t="s">
        <v>611</v>
      </c>
      <c r="Y11" s="1" t="s">
        <v>610</v>
      </c>
      <c r="Z11" s="1" t="s">
        <v>48</v>
      </c>
      <c r="AA11" s="1" t="s">
        <v>48</v>
      </c>
    </row>
    <row r="12" spans="1:27" s="1" customFormat="1" ht="18.5" x14ac:dyDescent="0.45">
      <c r="A12" s="1" t="s">
        <v>612</v>
      </c>
      <c r="B12" s="1" t="s">
        <v>613</v>
      </c>
      <c r="C12" s="1" t="s">
        <v>614</v>
      </c>
      <c r="D12" s="1" t="s">
        <v>53</v>
      </c>
      <c r="E12" s="2">
        <v>2022</v>
      </c>
      <c r="F12" s="1" t="s">
        <v>615</v>
      </c>
      <c r="G12" s="1" t="s">
        <v>58</v>
      </c>
      <c r="H12" s="1" t="s">
        <v>616</v>
      </c>
      <c r="I12" s="1">
        <v>32</v>
      </c>
      <c r="J12" s="1">
        <v>6</v>
      </c>
      <c r="K12" s="1">
        <v>0</v>
      </c>
      <c r="L12" s="1">
        <v>8</v>
      </c>
      <c r="M12" s="1" t="s">
        <v>530</v>
      </c>
      <c r="N12" s="1" t="s">
        <v>557</v>
      </c>
      <c r="O12" s="1" t="s">
        <v>558</v>
      </c>
      <c r="P12" s="1" t="s">
        <v>617</v>
      </c>
      <c r="Q12" s="1" t="s">
        <v>618</v>
      </c>
      <c r="R12" s="1">
        <v>16</v>
      </c>
      <c r="S12" s="1">
        <v>2</v>
      </c>
      <c r="T12" s="1" t="s">
        <v>619</v>
      </c>
      <c r="U12" s="1" t="str">
        <f>HYPERLINK("http://dx.doi.org/10.1108/IJPHM-08-2020-0067","http://dx.doi.org/10.1108/IJPHM-08-2020-0067")</f>
        <v>http://dx.doi.org/10.1108/IJPHM-08-2020-0067</v>
      </c>
      <c r="V12" s="1">
        <v>22</v>
      </c>
      <c r="W12" s="1" t="s">
        <v>620</v>
      </c>
      <c r="X12" s="1" t="s">
        <v>124</v>
      </c>
      <c r="Y12" s="1" t="s">
        <v>621</v>
      </c>
      <c r="Z12" s="1" t="s">
        <v>48</v>
      </c>
      <c r="AA12" s="1" t="s">
        <v>48</v>
      </c>
    </row>
    <row r="13" spans="1:27" s="1" customFormat="1" ht="18.5" x14ac:dyDescent="0.45">
      <c r="A13" s="1" t="s">
        <v>818</v>
      </c>
      <c r="B13" s="1" t="s">
        <v>819</v>
      </c>
      <c r="C13" s="1" t="s">
        <v>820</v>
      </c>
      <c r="D13" s="1" t="s">
        <v>53</v>
      </c>
      <c r="E13" s="2">
        <v>2022</v>
      </c>
      <c r="F13" s="1" t="s">
        <v>821</v>
      </c>
      <c r="G13" s="1" t="s">
        <v>58</v>
      </c>
      <c r="H13" s="1" t="s">
        <v>566</v>
      </c>
      <c r="I13" s="1">
        <v>86</v>
      </c>
      <c r="J13" s="1">
        <v>12</v>
      </c>
      <c r="K13" s="1">
        <v>1</v>
      </c>
      <c r="L13" s="1">
        <v>18</v>
      </c>
      <c r="M13" s="1" t="s">
        <v>421</v>
      </c>
      <c r="N13" s="1" t="s">
        <v>422</v>
      </c>
      <c r="O13" s="1" t="s">
        <v>423</v>
      </c>
      <c r="P13" s="1" t="s">
        <v>48</v>
      </c>
      <c r="Q13" s="1" t="s">
        <v>822</v>
      </c>
      <c r="R13" s="1">
        <v>13</v>
      </c>
      <c r="S13" s="1" t="s">
        <v>48</v>
      </c>
      <c r="T13" s="1" t="s">
        <v>823</v>
      </c>
      <c r="U13" s="1" t="str">
        <f>HYPERLINK("http://dx.doi.org/10.3389/fmicb.2022.920561","http://dx.doi.org/10.3389/fmicb.2022.920561")</f>
        <v>http://dx.doi.org/10.3389/fmicb.2022.920561</v>
      </c>
      <c r="V13" s="1">
        <v>19</v>
      </c>
      <c r="W13" s="1" t="s">
        <v>824</v>
      </c>
      <c r="X13" s="1" t="s">
        <v>67</v>
      </c>
      <c r="Y13" s="1" t="s">
        <v>824</v>
      </c>
      <c r="Z13" s="1">
        <v>35814705</v>
      </c>
      <c r="AA13" s="1" t="s">
        <v>366</v>
      </c>
    </row>
    <row r="14" spans="1:27" s="1" customFormat="1" ht="18.5" x14ac:dyDescent="0.45">
      <c r="A14" s="1" t="s">
        <v>825</v>
      </c>
      <c r="B14" s="1" t="s">
        <v>826</v>
      </c>
      <c r="C14" s="1" t="s">
        <v>827</v>
      </c>
      <c r="D14" s="1" t="s">
        <v>53</v>
      </c>
      <c r="E14" s="2">
        <v>2022</v>
      </c>
      <c r="F14" s="1" t="s">
        <v>828</v>
      </c>
      <c r="G14" s="1" t="s">
        <v>115</v>
      </c>
      <c r="H14" s="1" t="s">
        <v>829</v>
      </c>
      <c r="I14" s="1">
        <v>24</v>
      </c>
      <c r="J14" s="1">
        <v>0</v>
      </c>
      <c r="K14" s="1">
        <v>0</v>
      </c>
      <c r="L14" s="1">
        <v>3</v>
      </c>
      <c r="M14" s="1" t="s">
        <v>517</v>
      </c>
      <c r="N14" s="1" t="s">
        <v>239</v>
      </c>
      <c r="O14" s="1" t="s">
        <v>518</v>
      </c>
      <c r="P14" s="1" t="s">
        <v>830</v>
      </c>
      <c r="Q14" s="1" t="s">
        <v>831</v>
      </c>
      <c r="R14" s="1">
        <v>60</v>
      </c>
      <c r="S14" s="1">
        <v>5</v>
      </c>
      <c r="T14" s="1" t="s">
        <v>48</v>
      </c>
      <c r="U14" s="1" t="s">
        <v>48</v>
      </c>
      <c r="V14" s="1">
        <v>6</v>
      </c>
      <c r="W14" s="1" t="s">
        <v>669</v>
      </c>
      <c r="X14" s="1" t="s">
        <v>67</v>
      </c>
      <c r="Y14" s="1" t="s">
        <v>670</v>
      </c>
      <c r="Z14" s="1" t="s">
        <v>48</v>
      </c>
      <c r="AA14" s="1" t="s">
        <v>48</v>
      </c>
    </row>
    <row r="15" spans="1:27" s="1" customFormat="1" ht="18.5" x14ac:dyDescent="0.45">
      <c r="A15" s="1" t="s">
        <v>833</v>
      </c>
      <c r="B15" s="1" t="s">
        <v>834</v>
      </c>
      <c r="C15" s="1" t="s">
        <v>835</v>
      </c>
      <c r="D15" s="1" t="s">
        <v>53</v>
      </c>
      <c r="E15" s="2">
        <v>2022</v>
      </c>
      <c r="F15" s="1" t="s">
        <v>836</v>
      </c>
      <c r="G15" s="1" t="s">
        <v>58</v>
      </c>
      <c r="H15" s="1" t="s">
        <v>837</v>
      </c>
      <c r="I15" s="1">
        <v>70</v>
      </c>
      <c r="J15" s="1">
        <v>23</v>
      </c>
      <c r="K15" s="1">
        <v>0</v>
      </c>
      <c r="L15" s="1">
        <v>17</v>
      </c>
      <c r="M15" s="1" t="s">
        <v>132</v>
      </c>
      <c r="N15" s="1" t="s">
        <v>133</v>
      </c>
      <c r="O15" s="1" t="s">
        <v>838</v>
      </c>
      <c r="P15" s="1" t="s">
        <v>48</v>
      </c>
      <c r="Q15" s="1" t="s">
        <v>839</v>
      </c>
      <c r="R15" s="1">
        <v>27</v>
      </c>
      <c r="S15" s="1">
        <v>5</v>
      </c>
      <c r="T15" s="1" t="s">
        <v>840</v>
      </c>
      <c r="U15" s="1" t="str">
        <f>HYPERLINK("http://dx.doi.org/10.3390/molecules27051459","http://dx.doi.org/10.3390/molecules27051459")</f>
        <v>http://dx.doi.org/10.3390/molecules27051459</v>
      </c>
      <c r="V15" s="1">
        <v>26</v>
      </c>
      <c r="W15" s="1" t="s">
        <v>841</v>
      </c>
      <c r="X15" s="1" t="s">
        <v>67</v>
      </c>
      <c r="Y15" s="1" t="s">
        <v>842</v>
      </c>
      <c r="Z15" s="1">
        <v>35268559</v>
      </c>
      <c r="AA15" s="1" t="s">
        <v>366</v>
      </c>
    </row>
    <row r="16" spans="1:27" s="1" customFormat="1" ht="18.5" x14ac:dyDescent="0.45">
      <c r="A16" s="1" t="s">
        <v>902</v>
      </c>
      <c r="B16" s="1" t="s">
        <v>903</v>
      </c>
      <c r="C16" s="1" t="s">
        <v>904</v>
      </c>
      <c r="D16" s="1" t="s">
        <v>53</v>
      </c>
      <c r="E16" s="2">
        <v>2022</v>
      </c>
      <c r="F16" s="1" t="s">
        <v>905</v>
      </c>
      <c r="G16" s="1" t="s">
        <v>115</v>
      </c>
      <c r="H16" s="1" t="s">
        <v>906</v>
      </c>
      <c r="I16" s="1">
        <v>56</v>
      </c>
      <c r="J16" s="1">
        <v>13</v>
      </c>
      <c r="K16" s="1">
        <v>0</v>
      </c>
      <c r="L16" s="1">
        <v>19</v>
      </c>
      <c r="M16" s="1" t="s">
        <v>503</v>
      </c>
      <c r="N16" s="1" t="s">
        <v>542</v>
      </c>
      <c r="O16" s="1" t="s">
        <v>543</v>
      </c>
      <c r="P16" s="1" t="s">
        <v>907</v>
      </c>
      <c r="Q16" s="1" t="s">
        <v>908</v>
      </c>
      <c r="R16" s="1">
        <v>194</v>
      </c>
      <c r="S16" s="1">
        <v>4</v>
      </c>
      <c r="T16" s="1" t="s">
        <v>912</v>
      </c>
      <c r="U16" s="1" t="str">
        <f>HYPERLINK("http://dx.doi.org/10.1007/s10661-022-09955-0","http://dx.doi.org/10.1007/s10661-022-09955-0")</f>
        <v>http://dx.doi.org/10.1007/s10661-022-09955-0</v>
      </c>
      <c r="V16" s="1">
        <v>23</v>
      </c>
      <c r="W16" s="1" t="s">
        <v>438</v>
      </c>
      <c r="X16" s="1" t="s">
        <v>67</v>
      </c>
      <c r="Y16" s="1" t="s">
        <v>439</v>
      </c>
      <c r="Z16" s="1">
        <v>35353265</v>
      </c>
      <c r="AA16" s="1" t="s">
        <v>48</v>
      </c>
    </row>
    <row r="17" spans="1:27" s="1" customFormat="1" ht="18.5" x14ac:dyDescent="0.45">
      <c r="A17" s="1" t="s">
        <v>977</v>
      </c>
      <c r="B17" s="1" t="s">
        <v>978</v>
      </c>
      <c r="C17" s="1" t="s">
        <v>979</v>
      </c>
      <c r="D17" s="1" t="s">
        <v>53</v>
      </c>
      <c r="E17" s="2">
        <v>2022</v>
      </c>
      <c r="F17" s="1" t="s">
        <v>980</v>
      </c>
      <c r="G17" s="1" t="s">
        <v>58</v>
      </c>
      <c r="H17" s="1" t="s">
        <v>981</v>
      </c>
      <c r="I17" s="1">
        <v>54</v>
      </c>
      <c r="J17" s="1">
        <v>6</v>
      </c>
      <c r="K17" s="1">
        <v>0</v>
      </c>
      <c r="L17" s="1">
        <v>5</v>
      </c>
      <c r="M17" s="1" t="s">
        <v>198</v>
      </c>
      <c r="N17" s="1" t="s">
        <v>146</v>
      </c>
      <c r="O17" s="1" t="s">
        <v>199</v>
      </c>
      <c r="P17" s="1" t="s">
        <v>982</v>
      </c>
      <c r="Q17" s="1" t="s">
        <v>983</v>
      </c>
      <c r="R17" s="1">
        <v>37</v>
      </c>
      <c r="S17" s="1">
        <v>27</v>
      </c>
      <c r="T17" s="1" t="s">
        <v>987</v>
      </c>
      <c r="U17" s="1" t="str">
        <f>HYPERLINK("http://dx.doi.org/10.1080/10106049.2022.2107712","http://dx.doi.org/10.1080/10106049.2022.2107712")</f>
        <v>http://dx.doi.org/10.1080/10106049.2022.2107712</v>
      </c>
      <c r="V17" s="1">
        <v>29</v>
      </c>
      <c r="W17" s="1" t="s">
        <v>988</v>
      </c>
      <c r="X17" s="1" t="s">
        <v>67</v>
      </c>
      <c r="Y17" s="1" t="s">
        <v>989</v>
      </c>
      <c r="Z17" s="1" t="s">
        <v>48</v>
      </c>
      <c r="AA17" s="1" t="s">
        <v>48</v>
      </c>
    </row>
    <row r="18" spans="1:27" s="1" customFormat="1" ht="18.5" x14ac:dyDescent="0.45">
      <c r="A18" s="1" t="s">
        <v>999</v>
      </c>
      <c r="B18" s="1" t="s">
        <v>1000</v>
      </c>
      <c r="C18" s="1" t="s">
        <v>429</v>
      </c>
      <c r="D18" s="1" t="s">
        <v>53</v>
      </c>
      <c r="E18" s="2">
        <v>2022</v>
      </c>
      <c r="F18" s="1" t="s">
        <v>1001</v>
      </c>
      <c r="G18" s="1" t="s">
        <v>58</v>
      </c>
      <c r="H18" s="1" t="s">
        <v>431</v>
      </c>
      <c r="I18" s="1">
        <v>28</v>
      </c>
      <c r="J18" s="1">
        <v>2</v>
      </c>
      <c r="K18" s="1">
        <v>0</v>
      </c>
      <c r="L18" s="1">
        <v>1</v>
      </c>
      <c r="M18" s="1" t="s">
        <v>252</v>
      </c>
      <c r="N18" s="1" t="s">
        <v>253</v>
      </c>
      <c r="O18" s="1" t="s">
        <v>254</v>
      </c>
      <c r="P18" s="1" t="s">
        <v>432</v>
      </c>
      <c r="Q18" s="1" t="s">
        <v>433</v>
      </c>
      <c r="R18" s="1">
        <v>8</v>
      </c>
      <c r="S18" s="1">
        <v>4</v>
      </c>
      <c r="T18" s="1" t="s">
        <v>1002</v>
      </c>
      <c r="U18" s="1" t="str">
        <f>HYPERLINK("http://dx.doi.org/10.1007/s40808-022-01395-6","http://dx.doi.org/10.1007/s40808-022-01395-6")</f>
        <v>http://dx.doi.org/10.1007/s40808-022-01395-6</v>
      </c>
      <c r="V18" s="1">
        <v>6</v>
      </c>
      <c r="W18" s="1" t="s">
        <v>438</v>
      </c>
      <c r="X18" s="1" t="s">
        <v>124</v>
      </c>
      <c r="Y18" s="1" t="s">
        <v>439</v>
      </c>
      <c r="Z18" s="1">
        <v>35469271</v>
      </c>
      <c r="AA18" s="1" t="s">
        <v>1003</v>
      </c>
    </row>
    <row r="19" spans="1:27" s="1" customFormat="1" ht="18.5" x14ac:dyDescent="0.45">
      <c r="A19" s="1" t="s">
        <v>1004</v>
      </c>
      <c r="B19" s="1" t="s">
        <v>1005</v>
      </c>
      <c r="C19" s="1" t="s">
        <v>1006</v>
      </c>
      <c r="D19" s="1" t="s">
        <v>53</v>
      </c>
      <c r="E19" s="2">
        <v>2022</v>
      </c>
      <c r="F19" s="1" t="s">
        <v>1007</v>
      </c>
      <c r="G19" s="1" t="s">
        <v>58</v>
      </c>
      <c r="H19" s="1" t="s">
        <v>1008</v>
      </c>
      <c r="I19" s="1">
        <v>52</v>
      </c>
      <c r="J19" s="1">
        <v>43</v>
      </c>
      <c r="K19" s="1">
        <v>2</v>
      </c>
      <c r="L19" s="1">
        <v>15</v>
      </c>
      <c r="M19" s="1" t="s">
        <v>252</v>
      </c>
      <c r="N19" s="1" t="s">
        <v>253</v>
      </c>
      <c r="O19" s="1" t="s">
        <v>254</v>
      </c>
      <c r="P19" s="1" t="s">
        <v>1009</v>
      </c>
      <c r="Q19" s="1" t="s">
        <v>1010</v>
      </c>
      <c r="R19" s="1">
        <v>12</v>
      </c>
      <c r="S19" s="1">
        <v>4</v>
      </c>
      <c r="T19" s="1" t="s">
        <v>1011</v>
      </c>
      <c r="U19" s="1" t="str">
        <f>HYPERLINK("http://dx.doi.org/10.1007/s13201-022-01591-w","http://dx.doi.org/10.1007/s13201-022-01591-w")</f>
        <v>http://dx.doi.org/10.1007/s13201-022-01591-w</v>
      </c>
      <c r="V19" s="1">
        <v>16</v>
      </c>
      <c r="W19" s="1" t="s">
        <v>205</v>
      </c>
      <c r="X19" s="1" t="s">
        <v>67</v>
      </c>
      <c r="Y19" s="1" t="s">
        <v>205</v>
      </c>
      <c r="Z19" s="1" t="s">
        <v>48</v>
      </c>
      <c r="AA19" s="1" t="s">
        <v>125</v>
      </c>
    </row>
    <row r="20" spans="1:27" s="1" customFormat="1" ht="18.5" x14ac:dyDescent="0.45">
      <c r="A20" s="1" t="s">
        <v>1012</v>
      </c>
      <c r="B20" s="1" t="s">
        <v>1013</v>
      </c>
      <c r="C20" s="1" t="s">
        <v>538</v>
      </c>
      <c r="D20" s="1" t="s">
        <v>53</v>
      </c>
      <c r="E20" s="2">
        <v>2022</v>
      </c>
      <c r="F20" s="1" t="s">
        <v>1014</v>
      </c>
      <c r="G20" s="1" t="s">
        <v>58</v>
      </c>
      <c r="H20" s="1" t="s">
        <v>541</v>
      </c>
      <c r="I20" s="1">
        <v>43</v>
      </c>
      <c r="J20" s="1">
        <v>27</v>
      </c>
      <c r="K20" s="1">
        <v>0</v>
      </c>
      <c r="L20" s="1">
        <v>7</v>
      </c>
      <c r="M20" s="1" t="s">
        <v>503</v>
      </c>
      <c r="N20" s="1" t="s">
        <v>542</v>
      </c>
      <c r="O20" s="1" t="s">
        <v>543</v>
      </c>
      <c r="P20" s="1" t="s">
        <v>544</v>
      </c>
      <c r="Q20" s="1" t="s">
        <v>545</v>
      </c>
      <c r="R20" s="1">
        <v>55</v>
      </c>
      <c r="S20" s="1">
        <v>6</v>
      </c>
      <c r="T20" s="1" t="s">
        <v>1015</v>
      </c>
      <c r="U20" s="1" t="str">
        <f>HYPERLINK("http://dx.doi.org/10.1007/s10462-021-10111-2","http://dx.doi.org/10.1007/s10462-021-10111-2")</f>
        <v>http://dx.doi.org/10.1007/s10462-021-10111-2</v>
      </c>
      <c r="V20" s="1">
        <v>18</v>
      </c>
      <c r="W20" s="1" t="s">
        <v>549</v>
      </c>
      <c r="X20" s="1" t="s">
        <v>67</v>
      </c>
      <c r="Y20" s="1" t="s">
        <v>292</v>
      </c>
      <c r="Z20" s="1">
        <v>35035019</v>
      </c>
      <c r="AA20" s="1" t="s">
        <v>1016</v>
      </c>
    </row>
    <row r="21" spans="1:27" s="1" customFormat="1" ht="18.5" x14ac:dyDescent="0.45">
      <c r="A21" s="1" t="s">
        <v>1061</v>
      </c>
      <c r="B21" s="1" t="s">
        <v>1062</v>
      </c>
      <c r="C21" s="1" t="s">
        <v>1063</v>
      </c>
      <c r="D21" s="1" t="s">
        <v>53</v>
      </c>
      <c r="E21" s="2">
        <v>2022</v>
      </c>
      <c r="F21" s="1" t="s">
        <v>1064</v>
      </c>
      <c r="G21" s="1" t="s">
        <v>58</v>
      </c>
      <c r="H21" s="1" t="s">
        <v>1065</v>
      </c>
      <c r="I21" s="1">
        <v>44</v>
      </c>
      <c r="J21" s="1">
        <v>0</v>
      </c>
      <c r="K21" s="1">
        <v>0</v>
      </c>
      <c r="L21" s="1">
        <v>5</v>
      </c>
      <c r="M21" s="1" t="s">
        <v>1066</v>
      </c>
      <c r="N21" s="1" t="s">
        <v>1067</v>
      </c>
      <c r="O21" s="1" t="s">
        <v>1068</v>
      </c>
      <c r="P21" s="1" t="s">
        <v>1069</v>
      </c>
      <c r="Q21" s="1" t="s">
        <v>1070</v>
      </c>
      <c r="R21" s="1">
        <v>18</v>
      </c>
      <c r="S21" s="1" t="s">
        <v>48</v>
      </c>
      <c r="T21" s="1" t="s">
        <v>1071</v>
      </c>
      <c r="U21" s="1" t="str">
        <f>HYPERLINK("http://dx.doi.org/10.32890/jis2022.18.9","http://dx.doi.org/10.32890/jis2022.18.9")</f>
        <v>http://dx.doi.org/10.32890/jis2022.18.9</v>
      </c>
      <c r="V21" s="1">
        <v>20</v>
      </c>
      <c r="W21" s="1" t="s">
        <v>1072</v>
      </c>
      <c r="X21" s="1" t="s">
        <v>124</v>
      </c>
      <c r="Y21" s="1" t="s">
        <v>1072</v>
      </c>
      <c r="Z21" s="1" t="s">
        <v>48</v>
      </c>
      <c r="AA21" s="1" t="s">
        <v>1073</v>
      </c>
    </row>
    <row r="22" spans="1:27" s="1" customFormat="1" ht="18.5" x14ac:dyDescent="0.45">
      <c r="A22" s="1" t="s">
        <v>1148</v>
      </c>
      <c r="B22" s="1" t="s">
        <v>1149</v>
      </c>
      <c r="C22" s="1" t="s">
        <v>1150</v>
      </c>
      <c r="D22" s="1" t="s">
        <v>672</v>
      </c>
      <c r="E22" s="2">
        <v>2022</v>
      </c>
      <c r="F22" s="1" t="s">
        <v>1151</v>
      </c>
      <c r="G22" s="1" t="s">
        <v>58</v>
      </c>
      <c r="H22" s="1" t="s">
        <v>1152</v>
      </c>
      <c r="I22" s="1">
        <v>2</v>
      </c>
      <c r="J22" s="1">
        <v>0</v>
      </c>
      <c r="K22" s="1">
        <v>0</v>
      </c>
      <c r="L22" s="1">
        <v>2</v>
      </c>
      <c r="M22" s="1" t="s">
        <v>517</v>
      </c>
      <c r="N22" s="1" t="s">
        <v>239</v>
      </c>
      <c r="O22" s="1" t="s">
        <v>518</v>
      </c>
      <c r="P22" s="1" t="s">
        <v>1153</v>
      </c>
      <c r="Q22" s="1" t="s">
        <v>1154</v>
      </c>
      <c r="R22" s="1">
        <v>69</v>
      </c>
      <c r="S22" s="1">
        <v>4</v>
      </c>
      <c r="T22" s="1" t="s">
        <v>1157</v>
      </c>
      <c r="U22" s="1" t="str">
        <f>HYPERLINK("http://dx.doi.org/10.56042/alis.v69i4.68277","http://dx.doi.org/10.56042/alis.v69i4.68277")</f>
        <v>http://dx.doi.org/10.56042/alis.v69i4.68277</v>
      </c>
      <c r="V22" s="1">
        <v>5</v>
      </c>
      <c r="W22" s="1" t="s">
        <v>1158</v>
      </c>
      <c r="X22" s="1" t="s">
        <v>124</v>
      </c>
      <c r="Y22" s="1" t="s">
        <v>1158</v>
      </c>
      <c r="Z22" s="1" t="s">
        <v>48</v>
      </c>
      <c r="AA22" s="1" t="s">
        <v>125</v>
      </c>
    </row>
    <row r="23" spans="1:27" s="1" customFormat="1" ht="18.5" x14ac:dyDescent="0.45">
      <c r="A23" s="1" t="s">
        <v>977</v>
      </c>
      <c r="B23" s="1" t="s">
        <v>1159</v>
      </c>
      <c r="C23" s="1" t="s">
        <v>1018</v>
      </c>
      <c r="D23" s="1" t="s">
        <v>53</v>
      </c>
      <c r="E23" s="2">
        <v>2022</v>
      </c>
      <c r="F23" s="1" t="s">
        <v>1160</v>
      </c>
      <c r="G23" s="1" t="s">
        <v>58</v>
      </c>
      <c r="H23" s="1" t="s">
        <v>1161</v>
      </c>
      <c r="I23" s="1">
        <v>83</v>
      </c>
      <c r="J23" s="1">
        <v>6</v>
      </c>
      <c r="K23" s="1">
        <v>1</v>
      </c>
      <c r="L23" s="1">
        <v>27</v>
      </c>
      <c r="M23" s="1" t="s">
        <v>252</v>
      </c>
      <c r="N23" s="1" t="s">
        <v>253</v>
      </c>
      <c r="O23" s="1" t="s">
        <v>254</v>
      </c>
      <c r="P23" s="1" t="s">
        <v>1024</v>
      </c>
      <c r="Q23" s="1" t="s">
        <v>1025</v>
      </c>
      <c r="R23" s="1">
        <v>29</v>
      </c>
      <c r="S23" s="1">
        <v>56</v>
      </c>
      <c r="T23" s="1" t="s">
        <v>1162</v>
      </c>
      <c r="U23" s="1" t="str">
        <f>HYPERLINK("http://dx.doi.org/10.1007/s11356-022-21040-0","http://dx.doi.org/10.1007/s11356-022-21040-0")</f>
        <v>http://dx.doi.org/10.1007/s11356-022-21040-0</v>
      </c>
      <c r="V23" s="1">
        <v>29</v>
      </c>
      <c r="W23" s="1" t="s">
        <v>438</v>
      </c>
      <c r="X23" s="1" t="s">
        <v>67</v>
      </c>
      <c r="Y23" s="1" t="s">
        <v>439</v>
      </c>
      <c r="Z23" s="1">
        <v>35776302</v>
      </c>
      <c r="AA23" s="1" t="s">
        <v>48</v>
      </c>
    </row>
    <row r="24" spans="1:27" s="1" customFormat="1" ht="18.5" x14ac:dyDescent="0.45">
      <c r="A24" s="1" t="s">
        <v>1163</v>
      </c>
      <c r="B24" s="1" t="s">
        <v>1164</v>
      </c>
      <c r="C24" s="1" t="s">
        <v>1165</v>
      </c>
      <c r="D24" s="1" t="s">
        <v>53</v>
      </c>
      <c r="E24" s="2">
        <v>2022</v>
      </c>
      <c r="F24" s="1" t="s">
        <v>1166</v>
      </c>
      <c r="G24" s="1" t="s">
        <v>58</v>
      </c>
      <c r="H24" s="1" t="s">
        <v>1167</v>
      </c>
      <c r="I24" s="1">
        <v>34</v>
      </c>
      <c r="J24" s="1">
        <v>5</v>
      </c>
      <c r="K24" s="1">
        <v>1</v>
      </c>
      <c r="L24" s="1">
        <v>9</v>
      </c>
      <c r="M24" s="1" t="s">
        <v>1168</v>
      </c>
      <c r="N24" s="1" t="s">
        <v>504</v>
      </c>
      <c r="O24" s="1" t="s">
        <v>1169</v>
      </c>
      <c r="P24" s="1" t="s">
        <v>1170</v>
      </c>
      <c r="Q24" s="1" t="s">
        <v>1171</v>
      </c>
      <c r="R24" s="1">
        <v>597</v>
      </c>
      <c r="S24" s="1" t="s">
        <v>48</v>
      </c>
      <c r="T24" s="1" t="s">
        <v>1174</v>
      </c>
      <c r="U24" s="1" t="str">
        <f>HYPERLINK("http://dx.doi.org/10.1016/j.ins.2022.03.050","http://dx.doi.org/10.1016/j.ins.2022.03.050")</f>
        <v>http://dx.doi.org/10.1016/j.ins.2022.03.050</v>
      </c>
      <c r="V24" s="1">
        <v>20</v>
      </c>
      <c r="W24" s="1" t="s">
        <v>291</v>
      </c>
      <c r="X24" s="1" t="s">
        <v>67</v>
      </c>
      <c r="Y24" s="1" t="s">
        <v>292</v>
      </c>
      <c r="Z24" s="1" t="s">
        <v>48</v>
      </c>
      <c r="AA24" s="1" t="s">
        <v>48</v>
      </c>
    </row>
    <row r="25" spans="1:27" s="1" customFormat="1" ht="18.5" x14ac:dyDescent="0.45">
      <c r="A25" s="1" t="s">
        <v>1229</v>
      </c>
      <c r="B25" s="1" t="s">
        <v>1230</v>
      </c>
      <c r="C25" s="1" t="s">
        <v>1231</v>
      </c>
      <c r="D25" s="1" t="s">
        <v>53</v>
      </c>
      <c r="E25" s="2">
        <v>2022</v>
      </c>
      <c r="F25" s="1" t="s">
        <v>1232</v>
      </c>
      <c r="G25" s="1" t="s">
        <v>58</v>
      </c>
      <c r="H25" s="1" t="s">
        <v>1233</v>
      </c>
      <c r="I25" s="1">
        <v>47</v>
      </c>
      <c r="J25" s="1">
        <v>1</v>
      </c>
      <c r="K25" s="1">
        <v>0</v>
      </c>
      <c r="L25" s="1">
        <v>4</v>
      </c>
      <c r="M25" s="1" t="s">
        <v>347</v>
      </c>
      <c r="N25" s="1" t="s">
        <v>348</v>
      </c>
      <c r="O25" s="1" t="s">
        <v>349</v>
      </c>
      <c r="P25" s="1" t="s">
        <v>1234</v>
      </c>
      <c r="Q25" s="1" t="s">
        <v>1235</v>
      </c>
      <c r="R25" s="1">
        <v>46</v>
      </c>
      <c r="S25" s="1">
        <v>10</v>
      </c>
      <c r="T25" s="1" t="s">
        <v>1238</v>
      </c>
      <c r="U25" s="1" t="str">
        <f>HYPERLINK("http://dx.doi.org/10.1111/jfbc.14290","http://dx.doi.org/10.1111/jfbc.14290")</f>
        <v>http://dx.doi.org/10.1111/jfbc.14290</v>
      </c>
      <c r="V25" s="1">
        <v>16</v>
      </c>
      <c r="W25" s="1" t="s">
        <v>1239</v>
      </c>
      <c r="X25" s="1" t="s">
        <v>67</v>
      </c>
      <c r="Y25" s="1" t="s">
        <v>1239</v>
      </c>
      <c r="Z25" s="1">
        <v>35796441</v>
      </c>
      <c r="AA25" s="1" t="s">
        <v>48</v>
      </c>
    </row>
    <row r="26" spans="1:27" s="1" customFormat="1" ht="18.5" x14ac:dyDescent="0.45">
      <c r="A26" s="1" t="s">
        <v>248</v>
      </c>
      <c r="B26" s="1" t="s">
        <v>1240</v>
      </c>
      <c r="C26" s="1" t="s">
        <v>1241</v>
      </c>
      <c r="D26" s="1" t="s">
        <v>53</v>
      </c>
      <c r="E26" s="2">
        <v>2022</v>
      </c>
      <c r="F26" s="1" t="s">
        <v>251</v>
      </c>
      <c r="G26" s="1" t="s">
        <v>58</v>
      </c>
      <c r="H26" s="1" t="s">
        <v>227</v>
      </c>
      <c r="I26" s="1">
        <v>27</v>
      </c>
      <c r="J26" s="1">
        <v>15</v>
      </c>
      <c r="K26" s="1">
        <v>2</v>
      </c>
      <c r="L26" s="1">
        <v>10</v>
      </c>
      <c r="M26" s="1" t="s">
        <v>1242</v>
      </c>
      <c r="N26" s="1" t="s">
        <v>1243</v>
      </c>
      <c r="O26" s="1" t="s">
        <v>1244</v>
      </c>
      <c r="P26" s="1" t="s">
        <v>1245</v>
      </c>
      <c r="Q26" s="1" t="s">
        <v>1246</v>
      </c>
      <c r="R26" s="1">
        <v>42</v>
      </c>
      <c r="S26" s="1">
        <v>1</v>
      </c>
      <c r="T26" s="1" t="s">
        <v>1247</v>
      </c>
      <c r="U26" s="1" t="str">
        <f>HYPERLINK("http://dx.doi.org/10.1080/02286203.2020.1839168","http://dx.doi.org/10.1080/02286203.2020.1839168")</f>
        <v>http://dx.doi.org/10.1080/02286203.2020.1839168</v>
      </c>
      <c r="V26" s="1">
        <v>15</v>
      </c>
      <c r="W26" s="1" t="s">
        <v>1248</v>
      </c>
      <c r="X26" s="1" t="s">
        <v>124</v>
      </c>
      <c r="Y26" s="1" t="s">
        <v>1249</v>
      </c>
      <c r="Z26" s="1" t="s">
        <v>48</v>
      </c>
      <c r="AA26" s="1" t="s">
        <v>48</v>
      </c>
    </row>
    <row r="27" spans="1:27" s="1" customFormat="1" ht="18.5" x14ac:dyDescent="0.45">
      <c r="A27" s="1" t="s">
        <v>1305</v>
      </c>
      <c r="B27" s="1" t="s">
        <v>1306</v>
      </c>
      <c r="C27" s="1" t="s">
        <v>1307</v>
      </c>
      <c r="D27" s="1" t="s">
        <v>1308</v>
      </c>
      <c r="E27" s="2">
        <v>2022</v>
      </c>
      <c r="F27" s="1" t="s">
        <v>1309</v>
      </c>
      <c r="G27" s="1" t="s">
        <v>58</v>
      </c>
      <c r="H27" s="1" t="s">
        <v>1310</v>
      </c>
      <c r="I27" s="1">
        <v>1</v>
      </c>
      <c r="J27" s="1">
        <v>0</v>
      </c>
      <c r="K27" s="1">
        <v>0</v>
      </c>
      <c r="L27" s="1">
        <v>0</v>
      </c>
      <c r="M27" s="1" t="s">
        <v>98</v>
      </c>
      <c r="N27" s="1" t="s">
        <v>99</v>
      </c>
      <c r="O27" s="1" t="s">
        <v>100</v>
      </c>
      <c r="P27" s="1" t="s">
        <v>1311</v>
      </c>
      <c r="Q27" s="1" t="s">
        <v>1312</v>
      </c>
      <c r="R27" s="1" t="s">
        <v>48</v>
      </c>
      <c r="S27" s="1" t="s">
        <v>48</v>
      </c>
      <c r="T27" s="1" t="s">
        <v>1315</v>
      </c>
      <c r="U27" s="1" t="str">
        <f>HYPERLINK("http://dx.doi.org/10.1177/2455328X221106026","http://dx.doi.org/10.1177/2455328X221106026")</f>
        <v>http://dx.doi.org/10.1177/2455328X221106026</v>
      </c>
      <c r="V27" s="1">
        <v>4</v>
      </c>
      <c r="W27" s="1" t="s">
        <v>460</v>
      </c>
      <c r="X27" s="1" t="s">
        <v>124</v>
      </c>
      <c r="Y27" s="1" t="s">
        <v>461</v>
      </c>
      <c r="Z27" s="1" t="s">
        <v>48</v>
      </c>
      <c r="AA27" s="1" t="s">
        <v>48</v>
      </c>
    </row>
    <row r="28" spans="1:27" s="1" customFormat="1" ht="18.5" x14ac:dyDescent="0.45">
      <c r="A28" s="1" t="s">
        <v>1316</v>
      </c>
      <c r="B28" s="1" t="s">
        <v>1317</v>
      </c>
      <c r="C28" s="1" t="s">
        <v>1318</v>
      </c>
      <c r="D28" s="1" t="s">
        <v>53</v>
      </c>
      <c r="E28" s="2">
        <v>2022</v>
      </c>
      <c r="F28" s="1" t="s">
        <v>1319</v>
      </c>
      <c r="G28" s="1" t="s">
        <v>58</v>
      </c>
      <c r="H28" s="1" t="s">
        <v>1320</v>
      </c>
      <c r="I28" s="1">
        <v>21</v>
      </c>
      <c r="J28" s="1">
        <v>19</v>
      </c>
      <c r="K28" s="1">
        <v>0</v>
      </c>
      <c r="L28" s="1">
        <v>5</v>
      </c>
      <c r="M28" s="1" t="s">
        <v>1183</v>
      </c>
      <c r="N28" s="1" t="s">
        <v>1184</v>
      </c>
      <c r="O28" s="1" t="s">
        <v>1185</v>
      </c>
      <c r="P28" s="1" t="s">
        <v>48</v>
      </c>
      <c r="Q28" s="1" t="s">
        <v>1321</v>
      </c>
      <c r="R28" s="1">
        <v>5</v>
      </c>
      <c r="S28" s="1">
        <v>3</v>
      </c>
      <c r="T28" s="1" t="s">
        <v>1322</v>
      </c>
      <c r="U28" s="1" t="str">
        <f>HYPERLINK("http://dx.doi.org/10.1021/acsptsci.2c00003","http://dx.doi.org/10.1021/acsptsci.2c00003")</f>
        <v>http://dx.doi.org/10.1021/acsptsci.2c00003</v>
      </c>
      <c r="V28" s="1">
        <v>4</v>
      </c>
      <c r="W28" s="1" t="s">
        <v>1323</v>
      </c>
      <c r="X28" s="1" t="s">
        <v>124</v>
      </c>
      <c r="Y28" s="1" t="s">
        <v>1324</v>
      </c>
      <c r="Z28" s="1">
        <v>35295933</v>
      </c>
      <c r="AA28" s="1" t="s">
        <v>1325</v>
      </c>
    </row>
    <row r="29" spans="1:27" s="1" customFormat="1" ht="18.5" x14ac:dyDescent="0.45">
      <c r="A29" s="1" t="s">
        <v>1382</v>
      </c>
      <c r="B29" s="1" t="s">
        <v>1383</v>
      </c>
      <c r="C29" s="1" t="s">
        <v>1384</v>
      </c>
      <c r="D29" s="1" t="s">
        <v>53</v>
      </c>
      <c r="E29" s="2">
        <v>2022</v>
      </c>
      <c r="F29" s="1" t="s">
        <v>1385</v>
      </c>
      <c r="G29" s="1" t="s">
        <v>115</v>
      </c>
      <c r="H29" s="1" t="s">
        <v>1386</v>
      </c>
      <c r="I29" s="1">
        <v>30</v>
      </c>
      <c r="J29" s="1">
        <v>1</v>
      </c>
      <c r="K29" s="1">
        <v>0</v>
      </c>
      <c r="L29" s="1">
        <v>1</v>
      </c>
      <c r="M29" s="1" t="s">
        <v>503</v>
      </c>
      <c r="N29" s="1" t="s">
        <v>504</v>
      </c>
      <c r="O29" s="1" t="s">
        <v>505</v>
      </c>
      <c r="P29" s="1" t="s">
        <v>1387</v>
      </c>
      <c r="Q29" s="1" t="s">
        <v>1388</v>
      </c>
      <c r="R29" s="1">
        <v>125</v>
      </c>
      <c r="S29" s="1">
        <v>2</v>
      </c>
      <c r="T29" s="1" t="s">
        <v>1391</v>
      </c>
      <c r="U29" s="1" t="str">
        <f>HYPERLINK("http://dx.doi.org/10.1007/s11277-022-09635-9","http://dx.doi.org/10.1007/s11277-022-09635-9")</f>
        <v>http://dx.doi.org/10.1007/s11277-022-09635-9</v>
      </c>
      <c r="V29" s="1">
        <v>26</v>
      </c>
      <c r="W29" s="1" t="s">
        <v>1392</v>
      </c>
      <c r="X29" s="1" t="s">
        <v>67</v>
      </c>
      <c r="Y29" s="1" t="s">
        <v>1392</v>
      </c>
      <c r="Z29" s="1" t="s">
        <v>48</v>
      </c>
      <c r="AA29" s="1" t="s">
        <v>48</v>
      </c>
    </row>
    <row r="30" spans="1:27" s="1" customFormat="1" ht="18.5" x14ac:dyDescent="0.45">
      <c r="A30" s="1" t="s">
        <v>1436</v>
      </c>
      <c r="B30" s="1" t="s">
        <v>1437</v>
      </c>
      <c r="C30" s="1" t="s">
        <v>155</v>
      </c>
      <c r="D30" s="1" t="s">
        <v>53</v>
      </c>
      <c r="E30" s="2">
        <v>2022</v>
      </c>
      <c r="F30" s="1" t="s">
        <v>1438</v>
      </c>
      <c r="G30" s="1" t="s">
        <v>58</v>
      </c>
      <c r="H30" s="1" t="s">
        <v>157</v>
      </c>
      <c r="I30" s="1">
        <v>85</v>
      </c>
      <c r="J30" s="1">
        <v>10</v>
      </c>
      <c r="K30" s="1">
        <v>6</v>
      </c>
      <c r="L30" s="1">
        <v>49</v>
      </c>
      <c r="M30" s="1" t="s">
        <v>60</v>
      </c>
      <c r="N30" s="1" t="s">
        <v>61</v>
      </c>
      <c r="O30" s="1" t="s">
        <v>62</v>
      </c>
      <c r="P30" s="1" t="s">
        <v>160</v>
      </c>
      <c r="Q30" s="1" t="s">
        <v>161</v>
      </c>
      <c r="R30" s="1">
        <v>356</v>
      </c>
      <c r="S30" s="1" t="s">
        <v>48</v>
      </c>
      <c r="T30" s="1" t="s">
        <v>1440</v>
      </c>
      <c r="U30" s="1" t="str">
        <f>HYPERLINK("http://dx.doi.org/10.1016/j.jclepro.2022.131763","http://dx.doi.org/10.1016/j.jclepro.2022.131763")</f>
        <v>http://dx.doi.org/10.1016/j.jclepro.2022.131763</v>
      </c>
      <c r="V30" s="1">
        <v>18</v>
      </c>
      <c r="W30" s="1" t="s">
        <v>164</v>
      </c>
      <c r="X30" s="1" t="s">
        <v>67</v>
      </c>
      <c r="Y30" s="1" t="s">
        <v>165</v>
      </c>
      <c r="Z30" s="1" t="s">
        <v>48</v>
      </c>
      <c r="AA30" s="1" t="s">
        <v>48</v>
      </c>
    </row>
    <row r="31" spans="1:27" s="1" customFormat="1" ht="18.5" x14ac:dyDescent="0.45">
      <c r="A31" s="1" t="s">
        <v>1441</v>
      </c>
      <c r="B31" s="1" t="s">
        <v>1442</v>
      </c>
      <c r="C31" s="1" t="s">
        <v>1443</v>
      </c>
      <c r="D31" s="1" t="s">
        <v>53</v>
      </c>
      <c r="E31" s="2">
        <v>2022</v>
      </c>
      <c r="F31" s="1" t="s">
        <v>1444</v>
      </c>
      <c r="G31" s="1" t="s">
        <v>58</v>
      </c>
      <c r="H31" s="1" t="s">
        <v>1445</v>
      </c>
      <c r="I31" s="1">
        <v>50</v>
      </c>
      <c r="J31" s="1">
        <v>7</v>
      </c>
      <c r="K31" s="1">
        <v>1</v>
      </c>
      <c r="L31" s="1">
        <v>12</v>
      </c>
      <c r="M31" s="1" t="s">
        <v>79</v>
      </c>
      <c r="N31" s="1" t="s">
        <v>80</v>
      </c>
      <c r="O31" s="1" t="s">
        <v>81</v>
      </c>
      <c r="P31" s="1" t="s">
        <v>1446</v>
      </c>
      <c r="Q31" s="1" t="s">
        <v>48</v>
      </c>
      <c r="R31" s="1">
        <v>50</v>
      </c>
      <c r="S31" s="1" t="s">
        <v>48</v>
      </c>
      <c r="T31" s="1" t="s">
        <v>1449</v>
      </c>
      <c r="U31" s="1" t="str">
        <f>HYPERLINK("http://dx.doi.org/10.1016/j.rsma.2021.102135","http://dx.doi.org/10.1016/j.rsma.2021.102135")</f>
        <v>http://dx.doi.org/10.1016/j.rsma.2021.102135</v>
      </c>
      <c r="V31" s="1">
        <v>14</v>
      </c>
      <c r="W31" s="1" t="s">
        <v>1450</v>
      </c>
      <c r="X31" s="1" t="s">
        <v>944</v>
      </c>
      <c r="Y31" s="1" t="s">
        <v>1451</v>
      </c>
      <c r="Z31" s="1" t="s">
        <v>48</v>
      </c>
      <c r="AA31" s="1" t="s">
        <v>48</v>
      </c>
    </row>
    <row r="32" spans="1:27" s="1" customFormat="1" ht="18.5" x14ac:dyDescent="0.45">
      <c r="A32" s="1" t="s">
        <v>1452</v>
      </c>
      <c r="B32" s="1" t="s">
        <v>1453</v>
      </c>
      <c r="C32" s="1" t="s">
        <v>1454</v>
      </c>
      <c r="D32" s="1" t="s">
        <v>53</v>
      </c>
      <c r="E32" s="2">
        <v>2022</v>
      </c>
      <c r="F32" s="1" t="s">
        <v>1455</v>
      </c>
      <c r="G32" s="1" t="s">
        <v>58</v>
      </c>
      <c r="H32" s="1" t="s">
        <v>1456</v>
      </c>
      <c r="I32" s="1">
        <v>71</v>
      </c>
      <c r="J32" s="1">
        <v>2</v>
      </c>
      <c r="K32" s="1">
        <v>12</v>
      </c>
      <c r="L32" s="1">
        <v>50</v>
      </c>
      <c r="M32" s="1" t="s">
        <v>1457</v>
      </c>
      <c r="N32" s="1" t="s">
        <v>1458</v>
      </c>
      <c r="O32" s="1" t="s">
        <v>1459</v>
      </c>
      <c r="P32" s="1" t="s">
        <v>1460</v>
      </c>
      <c r="Q32" s="1" t="s">
        <v>1461</v>
      </c>
      <c r="R32" s="1" t="s">
        <v>48</v>
      </c>
      <c r="S32" s="1">
        <v>3</v>
      </c>
      <c r="T32" s="1" t="s">
        <v>1462</v>
      </c>
      <c r="U32" s="1" t="str">
        <f>HYPERLINK("http://dx.doi.org/10.21272/mmi.2022.3-06","http://dx.doi.org/10.21272/mmi.2022.3-06")</f>
        <v>http://dx.doi.org/10.21272/mmi.2022.3-06</v>
      </c>
      <c r="V32" s="1">
        <v>12</v>
      </c>
      <c r="W32" s="1" t="s">
        <v>562</v>
      </c>
      <c r="X32" s="1" t="s">
        <v>124</v>
      </c>
      <c r="Y32" s="1" t="s">
        <v>510</v>
      </c>
      <c r="Z32" s="1" t="s">
        <v>48</v>
      </c>
      <c r="AA32" s="1" t="s">
        <v>366</v>
      </c>
    </row>
    <row r="33" spans="1:27" s="1" customFormat="1" ht="18.5" x14ac:dyDescent="0.45">
      <c r="A33" s="1" t="s">
        <v>1494</v>
      </c>
      <c r="B33" s="1" t="s">
        <v>1495</v>
      </c>
      <c r="C33" s="1" t="s">
        <v>1496</v>
      </c>
      <c r="D33" s="1" t="s">
        <v>53</v>
      </c>
      <c r="E33" s="2">
        <v>2022</v>
      </c>
      <c r="F33" s="1" t="s">
        <v>1497</v>
      </c>
      <c r="G33" s="1" t="s">
        <v>58</v>
      </c>
      <c r="H33" s="1" t="s">
        <v>265</v>
      </c>
      <c r="I33" s="1">
        <v>63</v>
      </c>
      <c r="J33" s="1">
        <v>6</v>
      </c>
      <c r="K33" s="1">
        <v>2</v>
      </c>
      <c r="L33" s="1">
        <v>5</v>
      </c>
      <c r="M33" s="1" t="s">
        <v>79</v>
      </c>
      <c r="N33" s="1" t="s">
        <v>80</v>
      </c>
      <c r="O33" s="1" t="s">
        <v>81</v>
      </c>
      <c r="P33" s="1" t="s">
        <v>1498</v>
      </c>
      <c r="Q33" s="1" t="s">
        <v>48</v>
      </c>
      <c r="R33" s="1">
        <v>28</v>
      </c>
      <c r="S33" s="1" t="s">
        <v>48</v>
      </c>
      <c r="T33" s="1" t="s">
        <v>1501</v>
      </c>
      <c r="U33" s="1" t="str">
        <f>HYPERLINK("http://dx.doi.org/10.1016/j.eti.2022.102952","http://dx.doi.org/10.1016/j.eti.2022.102952")</f>
        <v>http://dx.doi.org/10.1016/j.eti.2022.102952</v>
      </c>
      <c r="V33" s="1">
        <v>13</v>
      </c>
      <c r="W33" s="1" t="s">
        <v>1502</v>
      </c>
      <c r="X33" s="1" t="s">
        <v>67</v>
      </c>
      <c r="Y33" s="1" t="s">
        <v>1503</v>
      </c>
      <c r="Z33" s="1" t="s">
        <v>48</v>
      </c>
      <c r="AA33" s="1" t="s">
        <v>125</v>
      </c>
    </row>
    <row r="34" spans="1:27" s="1" customFormat="1" ht="18.5" x14ac:dyDescent="0.45">
      <c r="A34" s="1" t="s">
        <v>1504</v>
      </c>
      <c r="B34" s="1" t="s">
        <v>1505</v>
      </c>
      <c r="C34" s="1" t="s">
        <v>1506</v>
      </c>
      <c r="D34" s="1" t="s">
        <v>53</v>
      </c>
      <c r="E34" s="2">
        <v>2022</v>
      </c>
      <c r="F34" s="1" t="s">
        <v>1507</v>
      </c>
      <c r="G34" s="1" t="s">
        <v>58</v>
      </c>
      <c r="H34" s="1" t="s">
        <v>1508</v>
      </c>
      <c r="I34" s="1">
        <v>45</v>
      </c>
      <c r="J34" s="1">
        <v>1</v>
      </c>
      <c r="K34" s="1">
        <v>1</v>
      </c>
      <c r="L34" s="1">
        <v>4</v>
      </c>
      <c r="M34" s="1" t="s">
        <v>1509</v>
      </c>
      <c r="N34" s="1" t="s">
        <v>1510</v>
      </c>
      <c r="O34" s="1" t="s">
        <v>1511</v>
      </c>
      <c r="P34" s="1" t="s">
        <v>1512</v>
      </c>
      <c r="Q34" s="1" t="s">
        <v>1513</v>
      </c>
      <c r="R34" s="1">
        <v>24</v>
      </c>
      <c r="S34" s="1" t="s">
        <v>1514</v>
      </c>
      <c r="T34" s="1" t="s">
        <v>48</v>
      </c>
      <c r="U34" s="1" t="s">
        <v>48</v>
      </c>
      <c r="V34" s="1">
        <v>9</v>
      </c>
      <c r="W34" s="1" t="s">
        <v>1515</v>
      </c>
      <c r="X34" s="1" t="s">
        <v>67</v>
      </c>
      <c r="Y34" s="1" t="s">
        <v>1516</v>
      </c>
      <c r="Z34" s="1" t="s">
        <v>48</v>
      </c>
      <c r="AA34" s="1" t="s">
        <v>48</v>
      </c>
    </row>
    <row r="35" spans="1:27" s="1" customFormat="1" ht="18.5" x14ac:dyDescent="0.45">
      <c r="A35" s="1" t="s">
        <v>1518</v>
      </c>
      <c r="B35" s="1" t="s">
        <v>1519</v>
      </c>
      <c r="C35" s="1" t="s">
        <v>1520</v>
      </c>
      <c r="D35" s="1" t="s">
        <v>1114</v>
      </c>
      <c r="E35" s="2">
        <v>2022</v>
      </c>
      <c r="F35" s="1" t="s">
        <v>1521</v>
      </c>
      <c r="G35" s="1" t="s">
        <v>115</v>
      </c>
      <c r="H35" s="1" t="s">
        <v>1522</v>
      </c>
      <c r="I35" s="1">
        <v>154</v>
      </c>
      <c r="J35" s="1">
        <v>8</v>
      </c>
      <c r="K35" s="1">
        <v>4</v>
      </c>
      <c r="L35" s="1">
        <v>6</v>
      </c>
      <c r="M35" s="1" t="s">
        <v>1523</v>
      </c>
      <c r="N35" s="1" t="s">
        <v>632</v>
      </c>
      <c r="O35" s="1" t="s">
        <v>1524</v>
      </c>
      <c r="P35" s="1" t="s">
        <v>1525</v>
      </c>
      <c r="Q35" s="1" t="s">
        <v>1526</v>
      </c>
      <c r="R35" s="1">
        <v>2</v>
      </c>
      <c r="S35" s="1">
        <v>1</v>
      </c>
      <c r="T35" s="1" t="s">
        <v>1527</v>
      </c>
      <c r="U35" s="1" t="str">
        <f>HYPERLINK("http://dx.doi.org/10.1007/s43393-021-00045-9","http://dx.doi.org/10.1007/s43393-021-00045-9")</f>
        <v>http://dx.doi.org/10.1007/s43393-021-00045-9</v>
      </c>
      <c r="V35" s="1">
        <v>17</v>
      </c>
      <c r="W35" s="1" t="s">
        <v>1528</v>
      </c>
      <c r="X35" s="1" t="s">
        <v>124</v>
      </c>
      <c r="Y35" s="1" t="s">
        <v>1528</v>
      </c>
      <c r="Z35" s="1">
        <v>38624901</v>
      </c>
      <c r="AA35" s="1" t="s">
        <v>1003</v>
      </c>
    </row>
    <row r="36" spans="1:27" s="1" customFormat="1" ht="18.5" x14ac:dyDescent="0.45">
      <c r="A36" s="1" t="s">
        <v>140</v>
      </c>
      <c r="B36" s="1" t="s">
        <v>1586</v>
      </c>
      <c r="C36" s="1" t="s">
        <v>1587</v>
      </c>
      <c r="D36" s="1" t="s">
        <v>94</v>
      </c>
      <c r="E36" s="2">
        <v>2022</v>
      </c>
      <c r="F36" s="1" t="s">
        <v>1588</v>
      </c>
      <c r="G36" s="1" t="s">
        <v>58</v>
      </c>
      <c r="H36" s="1" t="s">
        <v>1589</v>
      </c>
      <c r="I36" s="1">
        <v>1</v>
      </c>
      <c r="J36" s="1">
        <v>0</v>
      </c>
      <c r="K36" s="1">
        <v>0</v>
      </c>
      <c r="L36" s="1">
        <v>0</v>
      </c>
      <c r="M36" s="1" t="s">
        <v>1590</v>
      </c>
      <c r="N36" s="1" t="s">
        <v>1591</v>
      </c>
      <c r="O36" s="1" t="s">
        <v>1592</v>
      </c>
      <c r="P36" s="1" t="s">
        <v>1593</v>
      </c>
      <c r="Q36" s="1" t="s">
        <v>48</v>
      </c>
      <c r="R36" s="1">
        <v>59</v>
      </c>
      <c r="S36" s="1">
        <v>2</v>
      </c>
      <c r="T36" s="1" t="s">
        <v>48</v>
      </c>
      <c r="U36" s="1" t="s">
        <v>48</v>
      </c>
      <c r="V36" s="1">
        <v>4</v>
      </c>
      <c r="W36" s="1" t="s">
        <v>1129</v>
      </c>
      <c r="X36" s="1" t="s">
        <v>124</v>
      </c>
      <c r="Y36" s="1" t="s">
        <v>1129</v>
      </c>
      <c r="Z36" s="1" t="s">
        <v>48</v>
      </c>
      <c r="AA36" s="1" t="s">
        <v>48</v>
      </c>
    </row>
    <row r="37" spans="1:27" s="1" customFormat="1" ht="18.5" x14ac:dyDescent="0.45">
      <c r="A37" s="1" t="s">
        <v>1148</v>
      </c>
      <c r="B37" s="1" t="s">
        <v>1685</v>
      </c>
      <c r="C37" s="1" t="s">
        <v>1686</v>
      </c>
      <c r="D37" s="1" t="s">
        <v>94</v>
      </c>
      <c r="E37" s="2">
        <v>2022</v>
      </c>
      <c r="F37" s="1" t="s">
        <v>1151</v>
      </c>
      <c r="G37" s="1" t="s">
        <v>58</v>
      </c>
      <c r="H37" s="1" t="s">
        <v>1152</v>
      </c>
      <c r="I37" s="1">
        <v>2</v>
      </c>
      <c r="J37" s="1">
        <v>0</v>
      </c>
      <c r="K37" s="1">
        <v>1</v>
      </c>
      <c r="L37" s="1">
        <v>1</v>
      </c>
      <c r="M37" s="1" t="s">
        <v>1687</v>
      </c>
      <c r="N37" s="1" t="s">
        <v>1688</v>
      </c>
      <c r="O37" s="1" t="s">
        <v>1689</v>
      </c>
      <c r="P37" s="1" t="s">
        <v>1690</v>
      </c>
      <c r="Q37" s="1" t="s">
        <v>1691</v>
      </c>
      <c r="R37" s="1">
        <v>11</v>
      </c>
      <c r="S37" s="1">
        <v>3</v>
      </c>
      <c r="T37" s="1" t="s">
        <v>1695</v>
      </c>
      <c r="U37" s="1" t="str">
        <f>HYPERLINK("http://dx.doi.org/10.5530/jscires.11.3.52","http://dx.doi.org/10.5530/jscires.11.3.52")</f>
        <v>http://dx.doi.org/10.5530/jscires.11.3.52</v>
      </c>
      <c r="V37" s="1">
        <v>4</v>
      </c>
      <c r="W37" s="1" t="s">
        <v>1158</v>
      </c>
      <c r="X37" s="1" t="s">
        <v>124</v>
      </c>
      <c r="Y37" s="1" t="s">
        <v>1158</v>
      </c>
      <c r="Z37" s="1" t="s">
        <v>48</v>
      </c>
      <c r="AA37" s="1" t="s">
        <v>1696</v>
      </c>
    </row>
    <row r="38" spans="1:27" s="1" customFormat="1" ht="18.5" x14ac:dyDescent="0.45">
      <c r="A38" s="1" t="s">
        <v>1148</v>
      </c>
      <c r="B38" s="1" t="s">
        <v>1697</v>
      </c>
      <c r="C38" s="1" t="s">
        <v>1686</v>
      </c>
      <c r="D38" s="1" t="s">
        <v>94</v>
      </c>
      <c r="E38" s="2">
        <v>2022</v>
      </c>
      <c r="F38" s="1" t="s">
        <v>1151</v>
      </c>
      <c r="G38" s="1" t="s">
        <v>58</v>
      </c>
      <c r="H38" s="1" t="s">
        <v>1152</v>
      </c>
      <c r="I38" s="1">
        <v>2</v>
      </c>
      <c r="J38" s="1">
        <v>0</v>
      </c>
      <c r="K38" s="1">
        <v>0</v>
      </c>
      <c r="L38" s="1">
        <v>2</v>
      </c>
      <c r="M38" s="1" t="s">
        <v>1687</v>
      </c>
      <c r="N38" s="1" t="s">
        <v>1688</v>
      </c>
      <c r="O38" s="1" t="s">
        <v>1689</v>
      </c>
      <c r="P38" s="1" t="s">
        <v>1690</v>
      </c>
      <c r="Q38" s="1" t="s">
        <v>1691</v>
      </c>
      <c r="R38" s="1">
        <v>11</v>
      </c>
      <c r="S38" s="1">
        <v>1</v>
      </c>
      <c r="T38" s="1" t="s">
        <v>1698</v>
      </c>
      <c r="U38" s="1" t="str">
        <f>HYPERLINK("http://dx.doi.org/10.5530/jscires.11.1.15","http://dx.doi.org/10.5530/jscires.11.1.15")</f>
        <v>http://dx.doi.org/10.5530/jscires.11.1.15</v>
      </c>
      <c r="V38" s="1">
        <v>4</v>
      </c>
      <c r="W38" s="1" t="s">
        <v>1158</v>
      </c>
      <c r="X38" s="1" t="s">
        <v>124</v>
      </c>
      <c r="Y38" s="1" t="s">
        <v>1158</v>
      </c>
      <c r="Z38" s="1" t="s">
        <v>48</v>
      </c>
      <c r="AA38" s="1" t="s">
        <v>1696</v>
      </c>
    </row>
    <row r="39" spans="1:27" s="1" customFormat="1" ht="18.5" x14ac:dyDescent="0.45">
      <c r="A39" s="1" t="s">
        <v>233</v>
      </c>
      <c r="B39" s="1" t="s">
        <v>1758</v>
      </c>
      <c r="C39" s="1" t="s">
        <v>235</v>
      </c>
      <c r="D39" s="1" t="s">
        <v>53</v>
      </c>
      <c r="E39" s="2">
        <v>2022</v>
      </c>
      <c r="F39" s="1" t="s">
        <v>1759</v>
      </c>
      <c r="G39" s="1" t="s">
        <v>58</v>
      </c>
      <c r="H39" s="1" t="s">
        <v>1760</v>
      </c>
      <c r="I39" s="1">
        <v>12</v>
      </c>
      <c r="J39" s="1">
        <v>1</v>
      </c>
      <c r="K39" s="1">
        <v>2</v>
      </c>
      <c r="L39" s="1">
        <v>2</v>
      </c>
      <c r="M39" s="1" t="s">
        <v>238</v>
      </c>
      <c r="N39" s="1" t="s">
        <v>239</v>
      </c>
      <c r="O39" s="1" t="s">
        <v>240</v>
      </c>
      <c r="P39" s="1" t="s">
        <v>241</v>
      </c>
      <c r="Q39" s="1" t="s">
        <v>242</v>
      </c>
      <c r="R39" s="1">
        <v>57</v>
      </c>
      <c r="S39" s="1">
        <v>4</v>
      </c>
      <c r="T39" s="1" t="s">
        <v>1761</v>
      </c>
      <c r="U39" s="1" t="str">
        <f>HYPERLINK("http://dx.doi.org/10.1007/s43539-022-00068-8","http://dx.doi.org/10.1007/s43539-022-00068-8")</f>
        <v>http://dx.doi.org/10.1007/s43539-022-00068-8</v>
      </c>
      <c r="V39" s="1">
        <v>4</v>
      </c>
      <c r="W39" s="1" t="s">
        <v>245</v>
      </c>
      <c r="X39" s="1" t="s">
        <v>124</v>
      </c>
      <c r="Y39" s="1" t="s">
        <v>246</v>
      </c>
      <c r="Z39" s="1" t="s">
        <v>48</v>
      </c>
      <c r="AA39" s="1" t="s">
        <v>48</v>
      </c>
    </row>
    <row r="40" spans="1:27" s="1" customFormat="1" ht="18.5" x14ac:dyDescent="0.45">
      <c r="A40" s="1" t="s">
        <v>1762</v>
      </c>
      <c r="B40" s="1" t="s">
        <v>1763</v>
      </c>
      <c r="C40" s="1" t="s">
        <v>1241</v>
      </c>
      <c r="D40" s="1" t="s">
        <v>53</v>
      </c>
      <c r="E40" s="2">
        <v>2022</v>
      </c>
      <c r="F40" s="1" t="s">
        <v>1764</v>
      </c>
      <c r="G40" s="1" t="s">
        <v>58</v>
      </c>
      <c r="H40" s="1" t="s">
        <v>1765</v>
      </c>
      <c r="I40" s="1">
        <v>38</v>
      </c>
      <c r="J40" s="1">
        <v>9</v>
      </c>
      <c r="K40" s="1">
        <v>1</v>
      </c>
      <c r="L40" s="1">
        <v>6</v>
      </c>
      <c r="M40" s="1" t="s">
        <v>1242</v>
      </c>
      <c r="N40" s="1" t="s">
        <v>1243</v>
      </c>
      <c r="O40" s="1" t="s">
        <v>1244</v>
      </c>
      <c r="P40" s="1" t="s">
        <v>1245</v>
      </c>
      <c r="Q40" s="1" t="s">
        <v>1246</v>
      </c>
      <c r="R40" s="1">
        <v>42</v>
      </c>
      <c r="S40" s="1">
        <v>6</v>
      </c>
      <c r="T40" s="1" t="s">
        <v>1767</v>
      </c>
      <c r="U40" s="1" t="str">
        <f>HYPERLINK("http://dx.doi.org/10.1080/02286203.2021.2007321","http://dx.doi.org/10.1080/02286203.2021.2007321")</f>
        <v>http://dx.doi.org/10.1080/02286203.2021.2007321</v>
      </c>
      <c r="V40" s="1">
        <v>19</v>
      </c>
      <c r="W40" s="1" t="s">
        <v>1248</v>
      </c>
      <c r="X40" s="1" t="s">
        <v>124</v>
      </c>
      <c r="Y40" s="1" t="s">
        <v>1249</v>
      </c>
      <c r="Z40" s="1" t="s">
        <v>48</v>
      </c>
      <c r="AA40" s="1" t="s">
        <v>48</v>
      </c>
    </row>
    <row r="41" spans="1:27" s="1" customFormat="1" ht="18.5" x14ac:dyDescent="0.45">
      <c r="A41" s="1" t="s">
        <v>1810</v>
      </c>
      <c r="B41" s="1" t="s">
        <v>1811</v>
      </c>
      <c r="C41" s="1" t="s">
        <v>1812</v>
      </c>
      <c r="D41" s="1" t="s">
        <v>53</v>
      </c>
      <c r="E41" s="2">
        <v>2022</v>
      </c>
      <c r="F41" s="1" t="s">
        <v>1813</v>
      </c>
      <c r="G41" s="1" t="s">
        <v>58</v>
      </c>
      <c r="H41" s="1" t="s">
        <v>227</v>
      </c>
      <c r="I41" s="1">
        <v>48</v>
      </c>
      <c r="J41" s="1">
        <v>7</v>
      </c>
      <c r="K41" s="1">
        <v>0</v>
      </c>
      <c r="L41" s="1">
        <v>8</v>
      </c>
      <c r="M41" s="1" t="s">
        <v>503</v>
      </c>
      <c r="N41" s="1" t="s">
        <v>504</v>
      </c>
      <c r="O41" s="1" t="s">
        <v>505</v>
      </c>
      <c r="P41" s="1" t="s">
        <v>1814</v>
      </c>
      <c r="Q41" s="1" t="s">
        <v>1815</v>
      </c>
      <c r="R41" s="1">
        <v>26</v>
      </c>
      <c r="S41" s="1">
        <v>18</v>
      </c>
      <c r="T41" s="1" t="s">
        <v>1818</v>
      </c>
      <c r="U41" s="1" t="str">
        <f>HYPERLINK("http://dx.doi.org/10.1007/s00500-022-07346-8","http://dx.doi.org/10.1007/s00500-022-07346-8")</f>
        <v>http://dx.doi.org/10.1007/s00500-022-07346-8</v>
      </c>
      <c r="V41" s="1">
        <v>11</v>
      </c>
      <c r="W41" s="1" t="s">
        <v>1746</v>
      </c>
      <c r="X41" s="1" t="s">
        <v>67</v>
      </c>
      <c r="Y41" s="1" t="s">
        <v>292</v>
      </c>
      <c r="Z41" s="1" t="s">
        <v>48</v>
      </c>
      <c r="AA41" s="1" t="s">
        <v>48</v>
      </c>
    </row>
    <row r="42" spans="1:27" s="1" customFormat="1" ht="18.5" x14ac:dyDescent="0.45">
      <c r="A42" s="1" t="s">
        <v>1885</v>
      </c>
      <c r="B42" s="1" t="s">
        <v>1886</v>
      </c>
      <c r="C42" s="1" t="s">
        <v>155</v>
      </c>
      <c r="D42" s="1" t="s">
        <v>53</v>
      </c>
      <c r="E42" s="2">
        <v>2022</v>
      </c>
      <c r="F42" s="1" t="s">
        <v>1887</v>
      </c>
      <c r="G42" s="1" t="s">
        <v>58</v>
      </c>
      <c r="H42" s="1" t="s">
        <v>1888</v>
      </c>
      <c r="I42" s="1">
        <v>112</v>
      </c>
      <c r="J42" s="1">
        <v>68</v>
      </c>
      <c r="K42" s="1">
        <v>23</v>
      </c>
      <c r="L42" s="1">
        <v>304</v>
      </c>
      <c r="M42" s="1" t="s">
        <v>60</v>
      </c>
      <c r="N42" s="1" t="s">
        <v>158</v>
      </c>
      <c r="O42" s="1" t="s">
        <v>159</v>
      </c>
      <c r="P42" s="1" t="s">
        <v>160</v>
      </c>
      <c r="Q42" s="1" t="s">
        <v>161</v>
      </c>
      <c r="R42" s="1">
        <v>336</v>
      </c>
      <c r="S42" s="1" t="s">
        <v>48</v>
      </c>
      <c r="T42" s="1" t="s">
        <v>1889</v>
      </c>
      <c r="U42" s="1" t="str">
        <f>HYPERLINK("http://dx.doi.org/10.1016/j.jclepro.2022.130417","http://dx.doi.org/10.1016/j.jclepro.2022.130417")</f>
        <v>http://dx.doi.org/10.1016/j.jclepro.2022.130417</v>
      </c>
      <c r="V42" s="1">
        <v>18</v>
      </c>
      <c r="W42" s="1" t="s">
        <v>164</v>
      </c>
      <c r="X42" s="1" t="s">
        <v>944</v>
      </c>
      <c r="Y42" s="1" t="s">
        <v>165</v>
      </c>
      <c r="Z42" s="1" t="s">
        <v>48</v>
      </c>
      <c r="AA42" s="1" t="s">
        <v>48</v>
      </c>
    </row>
    <row r="43" spans="1:27" s="1" customFormat="1" ht="18.5" x14ac:dyDescent="0.45">
      <c r="A43" s="1" t="s">
        <v>427</v>
      </c>
      <c r="B43" s="1" t="s">
        <v>1890</v>
      </c>
      <c r="C43" s="1" t="s">
        <v>1891</v>
      </c>
      <c r="D43" s="1" t="s">
        <v>53</v>
      </c>
      <c r="E43" s="2">
        <v>2022</v>
      </c>
      <c r="F43" s="1" t="s">
        <v>430</v>
      </c>
      <c r="G43" s="1" t="s">
        <v>58</v>
      </c>
      <c r="H43" s="1" t="s">
        <v>431</v>
      </c>
      <c r="I43" s="1">
        <v>40</v>
      </c>
      <c r="J43" s="1">
        <v>4</v>
      </c>
      <c r="K43" s="1">
        <v>1</v>
      </c>
      <c r="L43" s="1">
        <v>5</v>
      </c>
      <c r="M43" s="1" t="s">
        <v>79</v>
      </c>
      <c r="N43" s="1" t="s">
        <v>80</v>
      </c>
      <c r="O43" s="1" t="s">
        <v>81</v>
      </c>
      <c r="P43" s="1" t="s">
        <v>1892</v>
      </c>
      <c r="Q43" s="1" t="s">
        <v>48</v>
      </c>
      <c r="R43" s="1">
        <v>25</v>
      </c>
      <c r="S43" s="1" t="s">
        <v>48</v>
      </c>
      <c r="T43" s="1" t="s">
        <v>1895</v>
      </c>
      <c r="U43" s="1" t="str">
        <f>HYPERLINK("http://dx.doi.org/10.1016/j.rsase.2021.100688","http://dx.doi.org/10.1016/j.rsase.2021.100688")</f>
        <v>http://dx.doi.org/10.1016/j.rsase.2021.100688</v>
      </c>
      <c r="V43" s="1">
        <v>17</v>
      </c>
      <c r="W43" s="1" t="s">
        <v>1896</v>
      </c>
      <c r="X43" s="1" t="s">
        <v>124</v>
      </c>
      <c r="Y43" s="1" t="s">
        <v>1897</v>
      </c>
      <c r="Z43" s="1" t="s">
        <v>48</v>
      </c>
      <c r="AA43" s="1" t="s">
        <v>48</v>
      </c>
    </row>
    <row r="44" spans="1:27" s="1" customFormat="1" ht="18.5" x14ac:dyDescent="0.45">
      <c r="A44" s="1" t="s">
        <v>1810</v>
      </c>
      <c r="B44" s="1" t="s">
        <v>1937</v>
      </c>
      <c r="C44" s="1" t="s">
        <v>1812</v>
      </c>
      <c r="D44" s="1" t="s">
        <v>53</v>
      </c>
      <c r="E44" s="2">
        <v>2022</v>
      </c>
      <c r="F44" s="1" t="s">
        <v>1813</v>
      </c>
      <c r="G44" s="1" t="s">
        <v>58</v>
      </c>
      <c r="H44" s="1" t="s">
        <v>227</v>
      </c>
      <c r="I44" s="1">
        <v>47</v>
      </c>
      <c r="J44" s="1">
        <v>6</v>
      </c>
      <c r="K44" s="1">
        <v>2</v>
      </c>
      <c r="L44" s="1">
        <v>14</v>
      </c>
      <c r="M44" s="1" t="s">
        <v>503</v>
      </c>
      <c r="N44" s="1" t="s">
        <v>504</v>
      </c>
      <c r="O44" s="1" t="s">
        <v>505</v>
      </c>
      <c r="P44" s="1" t="s">
        <v>1814</v>
      </c>
      <c r="Q44" s="1" t="s">
        <v>1815</v>
      </c>
      <c r="R44" s="1">
        <v>26</v>
      </c>
      <c r="S44" s="1">
        <v>10</v>
      </c>
      <c r="T44" s="1" t="s">
        <v>1938</v>
      </c>
      <c r="U44" s="1" t="str">
        <f>HYPERLINK("http://dx.doi.org/10.1007/s00500-022-06881-8","http://dx.doi.org/10.1007/s00500-022-06881-8")</f>
        <v>http://dx.doi.org/10.1007/s00500-022-06881-8</v>
      </c>
      <c r="V44" s="1">
        <v>11</v>
      </c>
      <c r="W44" s="1" t="s">
        <v>1746</v>
      </c>
      <c r="X44" s="1" t="s">
        <v>67</v>
      </c>
      <c r="Y44" s="1" t="s">
        <v>292</v>
      </c>
      <c r="Z44" s="1" t="s">
        <v>48</v>
      </c>
      <c r="AA44" s="1" t="s">
        <v>48</v>
      </c>
    </row>
    <row r="45" spans="1:27" s="1" customFormat="1" ht="18.5" x14ac:dyDescent="0.45">
      <c r="A45" s="1" t="s">
        <v>946</v>
      </c>
      <c r="B45" s="1" t="s">
        <v>1939</v>
      </c>
      <c r="C45" s="1" t="s">
        <v>93</v>
      </c>
      <c r="D45" s="1" t="s">
        <v>94</v>
      </c>
      <c r="E45" s="2">
        <v>2022</v>
      </c>
      <c r="F45" s="1" t="s">
        <v>1940</v>
      </c>
      <c r="G45" s="1" t="s">
        <v>58</v>
      </c>
      <c r="H45" s="1" t="s">
        <v>1941</v>
      </c>
      <c r="I45" s="1">
        <v>1</v>
      </c>
      <c r="J45" s="1">
        <v>0</v>
      </c>
      <c r="K45" s="1">
        <v>0</v>
      </c>
      <c r="L45" s="1">
        <v>0</v>
      </c>
      <c r="M45" s="1" t="s">
        <v>98</v>
      </c>
      <c r="N45" s="1" t="s">
        <v>99</v>
      </c>
      <c r="O45" s="1" t="s">
        <v>100</v>
      </c>
      <c r="P45" s="1" t="s">
        <v>101</v>
      </c>
      <c r="Q45" s="1" t="s">
        <v>102</v>
      </c>
      <c r="R45" s="1">
        <v>22</v>
      </c>
      <c r="S45" s="1">
        <v>1</v>
      </c>
      <c r="T45" s="1" t="s">
        <v>1942</v>
      </c>
      <c r="U45" s="1" t="str">
        <f>HYPERLINK("http://dx.doi.org/10.1177/14649934211019339","http://dx.doi.org/10.1177/14649934211019339")</f>
        <v>http://dx.doi.org/10.1177/14649934211019339</v>
      </c>
      <c r="V45" s="1">
        <v>3</v>
      </c>
      <c r="W45" s="1" t="s">
        <v>105</v>
      </c>
      <c r="X45" s="1" t="s">
        <v>106</v>
      </c>
      <c r="Y45" s="1" t="s">
        <v>105</v>
      </c>
      <c r="Z45" s="1" t="s">
        <v>48</v>
      </c>
      <c r="AA45" s="1" t="s">
        <v>48</v>
      </c>
    </row>
    <row r="46" spans="1:27" s="1" customFormat="1" ht="18.5" x14ac:dyDescent="0.45">
      <c r="A46" s="1" t="s">
        <v>1085</v>
      </c>
      <c r="B46" s="1" t="s">
        <v>2012</v>
      </c>
      <c r="C46" s="1" t="s">
        <v>2013</v>
      </c>
      <c r="D46" s="1" t="s">
        <v>53</v>
      </c>
      <c r="E46" s="2">
        <v>2022</v>
      </c>
      <c r="F46" s="1" t="s">
        <v>1090</v>
      </c>
      <c r="G46" s="1" t="s">
        <v>58</v>
      </c>
      <c r="H46" s="1" t="s">
        <v>227</v>
      </c>
      <c r="I46" s="1">
        <v>43</v>
      </c>
      <c r="J46" s="1">
        <v>57</v>
      </c>
      <c r="K46" s="1">
        <v>1</v>
      </c>
      <c r="L46" s="1">
        <v>10</v>
      </c>
      <c r="M46" s="1" t="s">
        <v>252</v>
      </c>
      <c r="N46" s="1" t="s">
        <v>253</v>
      </c>
      <c r="O46" s="1" t="s">
        <v>254</v>
      </c>
      <c r="P46" s="1" t="s">
        <v>2014</v>
      </c>
      <c r="Q46" s="1" t="s">
        <v>2015</v>
      </c>
      <c r="R46" s="1">
        <v>13</v>
      </c>
      <c r="S46" s="1">
        <v>10</v>
      </c>
      <c r="T46" s="1" t="s">
        <v>2016</v>
      </c>
      <c r="U46" s="1" t="str">
        <f>HYPERLINK("http://dx.doi.org/10.1007/s13042-022-01582-y","http://dx.doi.org/10.1007/s13042-022-01582-y")</f>
        <v>http://dx.doi.org/10.1007/s13042-022-01582-y</v>
      </c>
      <c r="V46" s="1">
        <v>24</v>
      </c>
      <c r="W46" s="1" t="s">
        <v>549</v>
      </c>
      <c r="X46" s="1" t="s">
        <v>67</v>
      </c>
      <c r="Y46" s="1" t="s">
        <v>292</v>
      </c>
      <c r="Z46" s="1" t="s">
        <v>48</v>
      </c>
      <c r="AA46" s="1" t="s">
        <v>48</v>
      </c>
    </row>
    <row r="47" spans="1:27" s="1" customFormat="1" ht="18.5" x14ac:dyDescent="0.45">
      <c r="A47" s="1" t="s">
        <v>2017</v>
      </c>
      <c r="B47" s="1" t="s">
        <v>2018</v>
      </c>
      <c r="C47" s="1" t="s">
        <v>1307</v>
      </c>
      <c r="D47" s="1" t="s">
        <v>111</v>
      </c>
      <c r="E47" s="2">
        <v>2022</v>
      </c>
      <c r="F47" s="1" t="s">
        <v>2019</v>
      </c>
      <c r="G47" s="1" t="s">
        <v>58</v>
      </c>
      <c r="H47" s="1" t="s">
        <v>2020</v>
      </c>
      <c r="I47" s="1">
        <v>26</v>
      </c>
      <c r="J47" s="1">
        <v>2</v>
      </c>
      <c r="K47" s="1">
        <v>0</v>
      </c>
      <c r="L47" s="1">
        <v>2</v>
      </c>
      <c r="M47" s="1" t="s">
        <v>98</v>
      </c>
      <c r="N47" s="1" t="s">
        <v>99</v>
      </c>
      <c r="O47" s="1" t="s">
        <v>100</v>
      </c>
      <c r="P47" s="1" t="s">
        <v>1311</v>
      </c>
      <c r="Q47" s="1" t="s">
        <v>1312</v>
      </c>
      <c r="R47" s="1" t="s">
        <v>48</v>
      </c>
      <c r="S47" s="1" t="s">
        <v>48</v>
      </c>
      <c r="T47" s="1" t="s">
        <v>2021</v>
      </c>
      <c r="U47" s="1" t="str">
        <f>HYPERLINK("http://dx.doi.org/10.1177/2455328X211063340","http://dx.doi.org/10.1177/2455328X211063340")</f>
        <v>http://dx.doi.org/10.1177/2455328X211063340</v>
      </c>
      <c r="V47" s="1">
        <v>14</v>
      </c>
      <c r="W47" s="1" t="s">
        <v>460</v>
      </c>
      <c r="X47" s="1" t="s">
        <v>124</v>
      </c>
      <c r="Y47" s="1" t="s">
        <v>461</v>
      </c>
      <c r="Z47" s="1" t="s">
        <v>48</v>
      </c>
      <c r="AA47" s="1" t="s">
        <v>48</v>
      </c>
    </row>
    <row r="48" spans="1:27" s="1" customFormat="1" ht="18.5" x14ac:dyDescent="0.45">
      <c r="A48" s="1" t="s">
        <v>127</v>
      </c>
      <c r="B48" s="1" t="s">
        <v>2091</v>
      </c>
      <c r="C48" s="1" t="s">
        <v>2092</v>
      </c>
      <c r="D48" s="1" t="s">
        <v>53</v>
      </c>
      <c r="E48" s="2">
        <v>2022</v>
      </c>
      <c r="F48" s="1" t="s">
        <v>130</v>
      </c>
      <c r="G48" s="1" t="s">
        <v>58</v>
      </c>
      <c r="H48" s="1" t="s">
        <v>131</v>
      </c>
      <c r="I48" s="1">
        <v>29</v>
      </c>
      <c r="J48" s="1">
        <v>8</v>
      </c>
      <c r="K48" s="1">
        <v>0</v>
      </c>
      <c r="L48" s="1">
        <v>0</v>
      </c>
      <c r="M48" s="1" t="s">
        <v>803</v>
      </c>
      <c r="N48" s="1" t="s">
        <v>239</v>
      </c>
      <c r="O48" s="1" t="s">
        <v>804</v>
      </c>
      <c r="P48" s="1" t="s">
        <v>2093</v>
      </c>
      <c r="Q48" s="1" t="s">
        <v>2094</v>
      </c>
      <c r="R48" s="1">
        <v>47</v>
      </c>
      <c r="S48" s="1">
        <v>4</v>
      </c>
      <c r="T48" s="1" t="s">
        <v>2097</v>
      </c>
      <c r="U48" s="1" t="str">
        <f>HYPERLINK("http://dx.doi.org/10.1007/s12046-022-01998-w","http://dx.doi.org/10.1007/s12046-022-01998-w")</f>
        <v>http://dx.doi.org/10.1007/s12046-022-01998-w</v>
      </c>
      <c r="V48" s="1">
        <v>10</v>
      </c>
      <c r="W48" s="1" t="s">
        <v>1732</v>
      </c>
      <c r="X48" s="1" t="s">
        <v>67</v>
      </c>
      <c r="Y48" s="1" t="s">
        <v>1733</v>
      </c>
      <c r="Z48" s="1" t="s">
        <v>48</v>
      </c>
      <c r="AA48" s="1" t="s">
        <v>48</v>
      </c>
    </row>
    <row r="49" spans="1:27" s="1" customFormat="1" ht="18.5" x14ac:dyDescent="0.45">
      <c r="A49" s="1" t="s">
        <v>1012</v>
      </c>
      <c r="B49" s="1" t="s">
        <v>2098</v>
      </c>
      <c r="C49" s="1" t="s">
        <v>2099</v>
      </c>
      <c r="D49" s="1" t="s">
        <v>53</v>
      </c>
      <c r="E49" s="2">
        <v>2022</v>
      </c>
      <c r="F49" s="1" t="s">
        <v>2100</v>
      </c>
      <c r="G49" s="1" t="s">
        <v>58</v>
      </c>
      <c r="H49" s="1" t="s">
        <v>1045</v>
      </c>
      <c r="I49" s="1">
        <v>36</v>
      </c>
      <c r="J49" s="1">
        <v>7</v>
      </c>
      <c r="K49" s="1">
        <v>0</v>
      </c>
      <c r="L49" s="1">
        <v>1</v>
      </c>
      <c r="M49" s="1" t="s">
        <v>2101</v>
      </c>
      <c r="N49" s="1" t="s">
        <v>2102</v>
      </c>
      <c r="O49" s="1" t="s">
        <v>2103</v>
      </c>
      <c r="P49" s="1" t="s">
        <v>2104</v>
      </c>
      <c r="Q49" s="1" t="s">
        <v>48</v>
      </c>
      <c r="R49" s="1">
        <v>20</v>
      </c>
      <c r="S49" s="1">
        <v>4</v>
      </c>
      <c r="T49" s="1" t="s">
        <v>48</v>
      </c>
      <c r="U49" s="1" t="s">
        <v>48</v>
      </c>
      <c r="V49" s="1">
        <v>11</v>
      </c>
      <c r="W49" s="1" t="s">
        <v>137</v>
      </c>
      <c r="X49" s="1" t="s">
        <v>124</v>
      </c>
      <c r="Y49" s="1" t="s">
        <v>137</v>
      </c>
      <c r="Z49" s="1" t="s">
        <v>48</v>
      </c>
      <c r="AA49" s="1" t="s">
        <v>48</v>
      </c>
    </row>
    <row r="50" spans="1:27" s="1" customFormat="1" ht="18.5" x14ac:dyDescent="0.45">
      <c r="A50" s="1" t="s">
        <v>1810</v>
      </c>
      <c r="B50" s="1" t="s">
        <v>1811</v>
      </c>
      <c r="C50" s="1" t="s">
        <v>1812</v>
      </c>
      <c r="D50" s="1" t="s">
        <v>111</v>
      </c>
      <c r="E50" s="2">
        <v>2022</v>
      </c>
      <c r="F50" s="1" t="s">
        <v>1813</v>
      </c>
      <c r="G50" s="1" t="s">
        <v>58</v>
      </c>
      <c r="H50" s="1" t="s">
        <v>227</v>
      </c>
      <c r="I50" s="1">
        <v>48</v>
      </c>
      <c r="J50" s="1">
        <v>0</v>
      </c>
      <c r="K50" s="1">
        <v>0</v>
      </c>
      <c r="L50" s="1">
        <v>4</v>
      </c>
      <c r="M50" s="1" t="s">
        <v>503</v>
      </c>
      <c r="N50" s="1" t="s">
        <v>504</v>
      </c>
      <c r="O50" s="1" t="s">
        <v>505</v>
      </c>
      <c r="P50" s="1" t="s">
        <v>1814</v>
      </c>
      <c r="Q50" s="1" t="s">
        <v>1815</v>
      </c>
      <c r="R50" s="1" t="s">
        <v>48</v>
      </c>
      <c r="S50" s="1" t="s">
        <v>48</v>
      </c>
      <c r="T50" s="1" t="s">
        <v>2113</v>
      </c>
      <c r="U50" s="1" t="str">
        <f>HYPERLINK("http://dx.doi.org/10.1007/s00500-077-07346-8","http://dx.doi.org/10.1007/s00500-077-07346-8")</f>
        <v>http://dx.doi.org/10.1007/s00500-077-07346-8</v>
      </c>
      <c r="V50" s="1">
        <v>11</v>
      </c>
      <c r="W50" s="1" t="s">
        <v>1746</v>
      </c>
      <c r="X50" s="1" t="s">
        <v>67</v>
      </c>
      <c r="Y50" s="1" t="s">
        <v>292</v>
      </c>
      <c r="Z50" s="1" t="s">
        <v>48</v>
      </c>
      <c r="AA50" s="1" t="s">
        <v>48</v>
      </c>
    </row>
    <row r="51" spans="1:27" s="1" customFormat="1" ht="18.5" x14ac:dyDescent="0.45">
      <c r="A51" s="1" t="s">
        <v>2122</v>
      </c>
      <c r="B51" s="1" t="s">
        <v>2123</v>
      </c>
      <c r="C51" s="1" t="s">
        <v>2124</v>
      </c>
      <c r="D51" s="1" t="s">
        <v>53</v>
      </c>
      <c r="E51" s="2">
        <v>2022</v>
      </c>
      <c r="F51" s="1" t="s">
        <v>2125</v>
      </c>
      <c r="G51" s="1" t="s">
        <v>77</v>
      </c>
      <c r="H51" s="1" t="s">
        <v>2126</v>
      </c>
      <c r="I51" s="1">
        <v>61</v>
      </c>
      <c r="J51" s="1">
        <v>1</v>
      </c>
      <c r="K51" s="1">
        <v>2</v>
      </c>
      <c r="L51" s="1">
        <v>6</v>
      </c>
      <c r="M51" s="1" t="s">
        <v>1183</v>
      </c>
      <c r="N51" s="1" t="s">
        <v>1184</v>
      </c>
      <c r="O51" s="1" t="s">
        <v>1185</v>
      </c>
      <c r="P51" s="1" t="s">
        <v>2127</v>
      </c>
      <c r="Q51" s="1" t="s">
        <v>2128</v>
      </c>
      <c r="R51" s="1">
        <v>70</v>
      </c>
      <c r="S51" s="1">
        <v>25</v>
      </c>
      <c r="T51" s="1" t="s">
        <v>2129</v>
      </c>
      <c r="U51" s="1" t="str">
        <f>HYPERLINK("http://dx.doi.org/10.1021/acs.jafc.1c07729","http://dx.doi.org/10.1021/acs.jafc.1c07729")</f>
        <v>http://dx.doi.org/10.1021/acs.jafc.1c07729</v>
      </c>
      <c r="V51" s="1">
        <v>12</v>
      </c>
      <c r="W51" s="1" t="s">
        <v>2130</v>
      </c>
      <c r="X51" s="1" t="s">
        <v>67</v>
      </c>
      <c r="Y51" s="1" t="s">
        <v>2131</v>
      </c>
      <c r="Z51" s="1">
        <v>35699309</v>
      </c>
      <c r="AA51" s="1" t="s">
        <v>48</v>
      </c>
    </row>
    <row r="52" spans="1:27" s="1" customFormat="1" ht="18.5" x14ac:dyDescent="0.45">
      <c r="A52" s="1" t="s">
        <v>798</v>
      </c>
      <c r="B52" s="1" t="s">
        <v>2132</v>
      </c>
      <c r="C52" s="1" t="s">
        <v>2133</v>
      </c>
      <c r="D52" s="1" t="s">
        <v>1114</v>
      </c>
      <c r="E52" s="2">
        <v>2022</v>
      </c>
      <c r="F52" s="1" t="s">
        <v>1274</v>
      </c>
      <c r="G52" s="1" t="s">
        <v>58</v>
      </c>
      <c r="H52" s="1" t="s">
        <v>1275</v>
      </c>
      <c r="I52" s="1">
        <v>47</v>
      </c>
      <c r="J52" s="1">
        <v>8</v>
      </c>
      <c r="K52" s="1">
        <v>2</v>
      </c>
      <c r="L52" s="1">
        <v>12</v>
      </c>
      <c r="M52" s="1" t="s">
        <v>252</v>
      </c>
      <c r="N52" s="1" t="s">
        <v>253</v>
      </c>
      <c r="O52" s="1" t="s">
        <v>254</v>
      </c>
      <c r="P52" s="1" t="s">
        <v>2134</v>
      </c>
      <c r="Q52" s="1" t="s">
        <v>2135</v>
      </c>
      <c r="R52" s="1">
        <v>22</v>
      </c>
      <c r="S52" s="1">
        <v>4</v>
      </c>
      <c r="T52" s="1" t="s">
        <v>2138</v>
      </c>
      <c r="U52" s="1" t="str">
        <f>HYPERLINK("http://dx.doi.org/10.1007/s12351-022-00691-4","http://dx.doi.org/10.1007/s12351-022-00691-4")</f>
        <v>http://dx.doi.org/10.1007/s12351-022-00691-4</v>
      </c>
      <c r="V52" s="1">
        <v>36</v>
      </c>
      <c r="W52" s="1" t="s">
        <v>580</v>
      </c>
      <c r="X52" s="1" t="s">
        <v>67</v>
      </c>
      <c r="Y52" s="1" t="s">
        <v>580</v>
      </c>
      <c r="Z52" s="1" t="s">
        <v>48</v>
      </c>
      <c r="AA52" s="1" t="s">
        <v>48</v>
      </c>
    </row>
    <row r="53" spans="1:27" s="1" customFormat="1" ht="18.5" x14ac:dyDescent="0.45">
      <c r="A53" s="1" t="s">
        <v>2139</v>
      </c>
      <c r="B53" s="1" t="s">
        <v>2140</v>
      </c>
      <c r="C53" s="1" t="s">
        <v>2141</v>
      </c>
      <c r="D53" s="1" t="s">
        <v>53</v>
      </c>
      <c r="E53" s="2">
        <v>2022</v>
      </c>
      <c r="F53" s="1" t="s">
        <v>2142</v>
      </c>
      <c r="G53" s="1" t="s">
        <v>58</v>
      </c>
      <c r="H53" s="1" t="s">
        <v>2143</v>
      </c>
      <c r="I53" s="1">
        <v>79</v>
      </c>
      <c r="J53" s="1">
        <v>23</v>
      </c>
      <c r="K53" s="1">
        <v>3</v>
      </c>
      <c r="L53" s="1">
        <v>14</v>
      </c>
      <c r="M53" s="1" t="s">
        <v>530</v>
      </c>
      <c r="N53" s="1" t="s">
        <v>557</v>
      </c>
      <c r="O53" s="1" t="s">
        <v>558</v>
      </c>
      <c r="P53" s="1" t="s">
        <v>2144</v>
      </c>
      <c r="Q53" s="1" t="s">
        <v>2145</v>
      </c>
      <c r="R53" s="1">
        <v>22</v>
      </c>
      <c r="S53" s="1">
        <v>1</v>
      </c>
      <c r="T53" s="1" t="s">
        <v>2146</v>
      </c>
      <c r="U53" s="1" t="str">
        <f>HYPERLINK("http://dx.doi.org/10.1108/CG-10-2020-0461","http://dx.doi.org/10.1108/CG-10-2020-0461")</f>
        <v>http://dx.doi.org/10.1108/CG-10-2020-0461</v>
      </c>
      <c r="V53" s="1">
        <v>20</v>
      </c>
      <c r="W53" s="1" t="s">
        <v>1630</v>
      </c>
      <c r="X53" s="1" t="s">
        <v>124</v>
      </c>
      <c r="Y53" s="1" t="s">
        <v>510</v>
      </c>
      <c r="Z53" s="1" t="s">
        <v>48</v>
      </c>
      <c r="AA53" s="1" t="s">
        <v>48</v>
      </c>
    </row>
    <row r="54" spans="1:27" s="1" customFormat="1" ht="18.5" x14ac:dyDescent="0.45">
      <c r="A54" s="1" t="s">
        <v>876</v>
      </c>
      <c r="B54" s="1" t="s">
        <v>2204</v>
      </c>
      <c r="C54" s="1" t="s">
        <v>2205</v>
      </c>
      <c r="D54" s="1" t="s">
        <v>53</v>
      </c>
      <c r="E54" s="2">
        <v>2022</v>
      </c>
      <c r="F54" s="1" t="s">
        <v>2206</v>
      </c>
      <c r="G54" s="1" t="s">
        <v>58</v>
      </c>
      <c r="H54" s="1" t="s">
        <v>898</v>
      </c>
      <c r="I54" s="1">
        <v>67</v>
      </c>
      <c r="J54" s="1">
        <v>9</v>
      </c>
      <c r="K54" s="1">
        <v>2</v>
      </c>
      <c r="L54" s="1">
        <v>13</v>
      </c>
      <c r="M54" s="1" t="s">
        <v>503</v>
      </c>
      <c r="N54" s="1" t="s">
        <v>504</v>
      </c>
      <c r="O54" s="1" t="s">
        <v>505</v>
      </c>
      <c r="P54" s="1" t="s">
        <v>2207</v>
      </c>
      <c r="Q54" s="1" t="s">
        <v>2208</v>
      </c>
      <c r="R54" s="1">
        <v>50</v>
      </c>
      <c r="S54" s="1">
        <v>11</v>
      </c>
      <c r="T54" s="1" t="s">
        <v>2211</v>
      </c>
      <c r="U54" s="1" t="str">
        <f>HYPERLINK("http://dx.doi.org/10.1007/s12524-022-01596-7","http://dx.doi.org/10.1007/s12524-022-01596-7")</f>
        <v>http://dx.doi.org/10.1007/s12524-022-01596-7</v>
      </c>
      <c r="V54" s="1">
        <v>16</v>
      </c>
      <c r="W54" s="1" t="s">
        <v>1896</v>
      </c>
      <c r="X54" s="1" t="s">
        <v>67</v>
      </c>
      <c r="Y54" s="1" t="s">
        <v>1897</v>
      </c>
      <c r="Z54" s="1" t="s">
        <v>48</v>
      </c>
      <c r="AA54" s="1" t="s">
        <v>1696</v>
      </c>
    </row>
    <row r="55" spans="1:27" s="1" customFormat="1" ht="18.5" x14ac:dyDescent="0.45">
      <c r="A55" s="1" t="s">
        <v>2212</v>
      </c>
      <c r="B55" s="1" t="s">
        <v>2213</v>
      </c>
      <c r="C55" s="1" t="s">
        <v>2214</v>
      </c>
      <c r="D55" s="1" t="s">
        <v>53</v>
      </c>
      <c r="E55" s="2">
        <v>2022</v>
      </c>
      <c r="F55" s="1" t="s">
        <v>2215</v>
      </c>
      <c r="G55" s="1" t="s">
        <v>58</v>
      </c>
      <c r="H55" s="1" t="s">
        <v>2216</v>
      </c>
      <c r="I55" s="1">
        <v>16</v>
      </c>
      <c r="J55" s="1">
        <v>3</v>
      </c>
      <c r="K55" s="1">
        <v>0</v>
      </c>
      <c r="L55" s="1">
        <v>0</v>
      </c>
      <c r="M55" s="1" t="s">
        <v>145</v>
      </c>
      <c r="N55" s="1" t="s">
        <v>146</v>
      </c>
      <c r="O55" s="1" t="s">
        <v>147</v>
      </c>
      <c r="P55" s="1" t="s">
        <v>2217</v>
      </c>
      <c r="Q55" s="1" t="s">
        <v>2218</v>
      </c>
      <c r="R55" s="1">
        <v>23</v>
      </c>
      <c r="S55" s="1">
        <v>2</v>
      </c>
      <c r="T55" s="1" t="s">
        <v>2219</v>
      </c>
      <c r="U55" s="1" t="str">
        <f>HYPERLINK("http://dx.doi.org/10.1080/14631369.2020.1785274","http://dx.doi.org/10.1080/14631369.2020.1785274")</f>
        <v>http://dx.doi.org/10.1080/14631369.2020.1785274</v>
      </c>
      <c r="V55" s="1">
        <v>17</v>
      </c>
      <c r="W55" s="1" t="s">
        <v>2220</v>
      </c>
      <c r="X55" s="1" t="s">
        <v>124</v>
      </c>
      <c r="Y55" s="1" t="s">
        <v>2220</v>
      </c>
      <c r="Z55" s="1" t="s">
        <v>48</v>
      </c>
      <c r="AA55" s="1" t="s">
        <v>48</v>
      </c>
    </row>
    <row r="56" spans="1:27" s="1" customFormat="1" ht="18.5" x14ac:dyDescent="0.45">
      <c r="A56" s="1" t="s">
        <v>140</v>
      </c>
      <c r="B56" s="1" t="s">
        <v>2221</v>
      </c>
      <c r="C56" s="1" t="s">
        <v>1587</v>
      </c>
      <c r="D56" s="1" t="s">
        <v>94</v>
      </c>
      <c r="E56" s="2">
        <v>2022</v>
      </c>
      <c r="F56" s="1" t="s">
        <v>1588</v>
      </c>
      <c r="G56" s="1" t="s">
        <v>58</v>
      </c>
      <c r="H56" s="1" t="s">
        <v>1589</v>
      </c>
      <c r="I56" s="1">
        <v>1</v>
      </c>
      <c r="J56" s="1">
        <v>0</v>
      </c>
      <c r="K56" s="1">
        <v>0</v>
      </c>
      <c r="L56" s="1">
        <v>0</v>
      </c>
      <c r="M56" s="1" t="s">
        <v>1590</v>
      </c>
      <c r="N56" s="1" t="s">
        <v>1591</v>
      </c>
      <c r="O56" s="1" t="s">
        <v>1592</v>
      </c>
      <c r="P56" s="1" t="s">
        <v>1593</v>
      </c>
      <c r="Q56" s="1" t="s">
        <v>48</v>
      </c>
      <c r="R56" s="1">
        <v>59</v>
      </c>
      <c r="S56" s="1">
        <v>2</v>
      </c>
      <c r="T56" s="1" t="s">
        <v>48</v>
      </c>
      <c r="U56" s="1" t="s">
        <v>48</v>
      </c>
      <c r="V56" s="1">
        <v>4</v>
      </c>
      <c r="W56" s="1" t="s">
        <v>1129</v>
      </c>
      <c r="X56" s="1" t="s">
        <v>124</v>
      </c>
      <c r="Y56" s="1" t="s">
        <v>1129</v>
      </c>
      <c r="Z56" s="1" t="s">
        <v>48</v>
      </c>
      <c r="AA56" s="1" t="s">
        <v>48</v>
      </c>
    </row>
    <row r="57" spans="1:27" s="1" customFormat="1" ht="18.5" x14ac:dyDescent="0.45">
      <c r="A57" s="1" t="s">
        <v>2277</v>
      </c>
      <c r="B57" s="1" t="s">
        <v>2278</v>
      </c>
      <c r="C57" s="1" t="s">
        <v>2279</v>
      </c>
      <c r="D57" s="1" t="s">
        <v>53</v>
      </c>
      <c r="E57" s="2">
        <v>2022</v>
      </c>
      <c r="F57" s="1" t="s">
        <v>2281</v>
      </c>
      <c r="G57" s="1" t="s">
        <v>58</v>
      </c>
      <c r="H57" s="1" t="s">
        <v>2282</v>
      </c>
      <c r="I57" s="1">
        <v>42</v>
      </c>
      <c r="J57" s="1">
        <v>5</v>
      </c>
      <c r="K57" s="1">
        <v>2</v>
      </c>
      <c r="L57" s="1">
        <v>2</v>
      </c>
      <c r="M57" s="1" t="s">
        <v>2283</v>
      </c>
      <c r="N57" s="1" t="s">
        <v>632</v>
      </c>
      <c r="O57" s="1" t="s">
        <v>2284</v>
      </c>
      <c r="P57" s="1" t="s">
        <v>2285</v>
      </c>
      <c r="Q57" s="1" t="s">
        <v>2286</v>
      </c>
      <c r="R57" s="1">
        <v>2022</v>
      </c>
      <c r="S57" s="1" t="s">
        <v>48</v>
      </c>
      <c r="T57" s="1" t="s">
        <v>2289</v>
      </c>
      <c r="U57" s="1" t="str">
        <f>HYPERLINK("http://dx.doi.org/10.1155/2022/1149724","http://dx.doi.org/10.1155/2022/1149724")</f>
        <v>http://dx.doi.org/10.1155/2022/1149724</v>
      </c>
      <c r="V57" s="1">
        <v>8</v>
      </c>
      <c r="W57" s="1" t="s">
        <v>2290</v>
      </c>
      <c r="X57" s="1" t="s">
        <v>67</v>
      </c>
      <c r="Y57" s="1" t="s">
        <v>2291</v>
      </c>
      <c r="Z57" s="1" t="s">
        <v>48</v>
      </c>
      <c r="AA57" s="1" t="s">
        <v>125</v>
      </c>
    </row>
    <row r="58" spans="1:27" s="1" customFormat="1" ht="18.5" x14ac:dyDescent="0.45">
      <c r="A58" s="1" t="s">
        <v>2406</v>
      </c>
      <c r="B58" s="1" t="s">
        <v>2407</v>
      </c>
      <c r="C58" s="1" t="s">
        <v>2408</v>
      </c>
      <c r="D58" s="1" t="s">
        <v>53</v>
      </c>
      <c r="E58" s="2">
        <v>2022</v>
      </c>
      <c r="F58" s="1" t="s">
        <v>2409</v>
      </c>
      <c r="G58" s="1" t="s">
        <v>115</v>
      </c>
      <c r="H58" s="1" t="s">
        <v>1134</v>
      </c>
      <c r="I58" s="1">
        <v>61</v>
      </c>
      <c r="J58" s="1">
        <v>1</v>
      </c>
      <c r="K58" s="1">
        <v>2</v>
      </c>
      <c r="L58" s="1">
        <v>3</v>
      </c>
      <c r="M58" s="1" t="s">
        <v>605</v>
      </c>
      <c r="N58" s="1" t="s">
        <v>239</v>
      </c>
      <c r="O58" s="1" t="s">
        <v>606</v>
      </c>
      <c r="P58" s="1" t="s">
        <v>2410</v>
      </c>
      <c r="Q58" s="1" t="s">
        <v>2411</v>
      </c>
      <c r="R58" s="1">
        <v>26</v>
      </c>
      <c r="S58" s="1">
        <v>3</v>
      </c>
      <c r="T58" s="1" t="s">
        <v>2412</v>
      </c>
      <c r="U58" s="1" t="str">
        <f>HYPERLINK("http://dx.doi.org/10.1177/0972262920984017","http://dx.doi.org/10.1177/0972262920984017")</f>
        <v>http://dx.doi.org/10.1177/0972262920984017</v>
      </c>
      <c r="V58" s="1">
        <v>11</v>
      </c>
      <c r="W58" s="1" t="s">
        <v>1228</v>
      </c>
      <c r="X58" s="1" t="s">
        <v>124</v>
      </c>
      <c r="Y58" s="1" t="s">
        <v>510</v>
      </c>
      <c r="Z58" s="1" t="s">
        <v>48</v>
      </c>
      <c r="AA58" s="1" t="s">
        <v>48</v>
      </c>
    </row>
    <row r="59" spans="1:27" s="1" customFormat="1" ht="18.5" x14ac:dyDescent="0.45">
      <c r="A59" s="1" t="s">
        <v>1361</v>
      </c>
      <c r="B59" s="1" t="s">
        <v>2455</v>
      </c>
      <c r="C59" s="1" t="s">
        <v>2456</v>
      </c>
      <c r="D59" s="1" t="s">
        <v>1802</v>
      </c>
      <c r="E59" s="2">
        <v>2022</v>
      </c>
      <c r="F59" s="1" t="s">
        <v>2457</v>
      </c>
      <c r="G59" s="1" t="s">
        <v>58</v>
      </c>
      <c r="H59" s="1" t="s">
        <v>2458</v>
      </c>
      <c r="I59" s="1">
        <v>0</v>
      </c>
      <c r="J59" s="1">
        <v>0</v>
      </c>
      <c r="K59" s="1">
        <v>0</v>
      </c>
      <c r="L59" s="1">
        <v>0</v>
      </c>
      <c r="M59" s="1" t="s">
        <v>1805</v>
      </c>
      <c r="N59" s="1" t="s">
        <v>146</v>
      </c>
      <c r="O59" s="1" t="s">
        <v>1806</v>
      </c>
      <c r="P59" s="1" t="s">
        <v>48</v>
      </c>
      <c r="Q59" s="1" t="s">
        <v>48</v>
      </c>
      <c r="R59" s="1" t="s">
        <v>48</v>
      </c>
      <c r="S59" s="1" t="s">
        <v>48</v>
      </c>
      <c r="T59" s="1" t="s">
        <v>48</v>
      </c>
      <c r="U59" s="1" t="s">
        <v>48</v>
      </c>
      <c r="V59" s="1">
        <v>9</v>
      </c>
      <c r="W59" s="1" t="s">
        <v>2459</v>
      </c>
      <c r="X59" s="1" t="s">
        <v>592</v>
      </c>
      <c r="Y59" s="1" t="s">
        <v>2460</v>
      </c>
      <c r="Z59" s="1" t="s">
        <v>48</v>
      </c>
      <c r="AA59" s="1" t="s">
        <v>48</v>
      </c>
    </row>
    <row r="60" spans="1:27" s="1" customFormat="1" ht="18.5" x14ac:dyDescent="0.45">
      <c r="A60" s="1" t="s">
        <v>2387</v>
      </c>
      <c r="B60" s="1" t="s">
        <v>2481</v>
      </c>
      <c r="C60" s="1" t="s">
        <v>2482</v>
      </c>
      <c r="D60" s="1" t="s">
        <v>53</v>
      </c>
      <c r="E60" s="2">
        <v>2022</v>
      </c>
      <c r="F60" s="1" t="s">
        <v>2483</v>
      </c>
      <c r="G60" s="1" t="s">
        <v>58</v>
      </c>
      <c r="H60" s="1" t="s">
        <v>2484</v>
      </c>
      <c r="I60" s="1">
        <v>70</v>
      </c>
      <c r="J60" s="1">
        <v>11</v>
      </c>
      <c r="K60" s="1">
        <v>4</v>
      </c>
      <c r="L60" s="1">
        <v>32</v>
      </c>
      <c r="M60" s="1" t="s">
        <v>145</v>
      </c>
      <c r="N60" s="1" t="s">
        <v>146</v>
      </c>
      <c r="O60" s="1" t="s">
        <v>147</v>
      </c>
      <c r="P60" s="1" t="s">
        <v>2485</v>
      </c>
      <c r="Q60" s="1" t="s">
        <v>2486</v>
      </c>
      <c r="R60" s="1">
        <v>56</v>
      </c>
      <c r="S60" s="1">
        <v>1</v>
      </c>
      <c r="T60" s="1" t="s">
        <v>2487</v>
      </c>
      <c r="U60" s="1" t="str">
        <f>HYPERLINK("http://dx.doi.org/10.1080/00213624.2022.2019552","http://dx.doi.org/10.1080/00213624.2022.2019552")</f>
        <v>http://dx.doi.org/10.1080/00213624.2022.2019552</v>
      </c>
      <c r="V60" s="1">
        <v>16</v>
      </c>
      <c r="W60" s="1" t="s">
        <v>509</v>
      </c>
      <c r="X60" s="1" t="s">
        <v>106</v>
      </c>
      <c r="Y60" s="1" t="s">
        <v>510</v>
      </c>
      <c r="Z60" s="1" t="s">
        <v>48</v>
      </c>
      <c r="AA60" s="1" t="s">
        <v>48</v>
      </c>
    </row>
    <row r="61" spans="1:27" s="1" customFormat="1" ht="18.5" x14ac:dyDescent="0.45">
      <c r="A61" s="1" t="s">
        <v>1361</v>
      </c>
      <c r="B61" s="1" t="s">
        <v>2488</v>
      </c>
      <c r="C61" s="1" t="s">
        <v>2456</v>
      </c>
      <c r="D61" s="1" t="s">
        <v>1802</v>
      </c>
      <c r="E61" s="2">
        <v>2022</v>
      </c>
      <c r="F61" s="1" t="s">
        <v>2457</v>
      </c>
      <c r="G61" s="1" t="s">
        <v>58</v>
      </c>
      <c r="H61" s="1" t="s">
        <v>2458</v>
      </c>
      <c r="I61" s="1">
        <v>0</v>
      </c>
      <c r="J61" s="1">
        <v>0</v>
      </c>
      <c r="K61" s="1">
        <v>0</v>
      </c>
      <c r="L61" s="1">
        <v>0</v>
      </c>
      <c r="M61" s="1" t="s">
        <v>1805</v>
      </c>
      <c r="N61" s="1" t="s">
        <v>146</v>
      </c>
      <c r="O61" s="1" t="s">
        <v>1806</v>
      </c>
      <c r="P61" s="1" t="s">
        <v>48</v>
      </c>
      <c r="Q61" s="1" t="s">
        <v>48</v>
      </c>
      <c r="R61" s="1" t="s">
        <v>48</v>
      </c>
      <c r="S61" s="1" t="s">
        <v>48</v>
      </c>
      <c r="T61" s="1" t="s">
        <v>48</v>
      </c>
      <c r="U61" s="1" t="s">
        <v>48</v>
      </c>
      <c r="V61" s="1">
        <v>2</v>
      </c>
      <c r="W61" s="1" t="s">
        <v>2459</v>
      </c>
      <c r="X61" s="1" t="s">
        <v>592</v>
      </c>
      <c r="Y61" s="1" t="s">
        <v>2460</v>
      </c>
      <c r="Z61" s="1" t="s">
        <v>48</v>
      </c>
      <c r="AA61" s="1" t="s">
        <v>48</v>
      </c>
    </row>
    <row r="62" spans="1:27" s="1" customFormat="1" ht="18.5" x14ac:dyDescent="0.45">
      <c r="A62" s="1" t="s">
        <v>2509</v>
      </c>
      <c r="B62" s="1" t="s">
        <v>2510</v>
      </c>
      <c r="C62" s="1" t="s">
        <v>2511</v>
      </c>
      <c r="D62" s="1" t="s">
        <v>1114</v>
      </c>
      <c r="E62" s="2">
        <v>2022</v>
      </c>
      <c r="F62" s="1" t="s">
        <v>2512</v>
      </c>
      <c r="G62" s="1" t="s">
        <v>115</v>
      </c>
      <c r="H62" s="1" t="s">
        <v>2513</v>
      </c>
      <c r="I62" s="1">
        <v>109</v>
      </c>
      <c r="J62" s="1">
        <v>4</v>
      </c>
      <c r="K62" s="1">
        <v>0</v>
      </c>
      <c r="L62" s="1">
        <v>19</v>
      </c>
      <c r="M62" s="1" t="s">
        <v>2514</v>
      </c>
      <c r="N62" s="1" t="s">
        <v>2515</v>
      </c>
      <c r="O62" s="1" t="s">
        <v>2516</v>
      </c>
      <c r="P62" s="1" t="s">
        <v>2517</v>
      </c>
      <c r="Q62" s="1" t="s">
        <v>2518</v>
      </c>
      <c r="R62" s="1">
        <v>115</v>
      </c>
      <c r="S62" s="1">
        <v>6</v>
      </c>
      <c r="T62" s="1" t="s">
        <v>2520</v>
      </c>
      <c r="U62" s="1" t="str">
        <f>HYPERLINK("http://dx.doi.org/10.1093/aesa/saac013","http://dx.doi.org/10.1093/aesa/saac013")</f>
        <v>http://dx.doi.org/10.1093/aesa/saac013</v>
      </c>
      <c r="V62" s="1">
        <v>10</v>
      </c>
      <c r="W62" s="1" t="s">
        <v>2521</v>
      </c>
      <c r="X62" s="1" t="s">
        <v>67</v>
      </c>
      <c r="Y62" s="1" t="s">
        <v>2521</v>
      </c>
      <c r="Z62" s="1" t="s">
        <v>48</v>
      </c>
      <c r="AA62" s="1" t="s">
        <v>48</v>
      </c>
    </row>
    <row r="63" spans="1:27" s="1" customFormat="1" ht="18.5" x14ac:dyDescent="0.45">
      <c r="A63" s="1" t="s">
        <v>2522</v>
      </c>
      <c r="B63" s="1" t="s">
        <v>2523</v>
      </c>
      <c r="C63" s="1" t="s">
        <v>2328</v>
      </c>
      <c r="D63" s="1" t="s">
        <v>53</v>
      </c>
      <c r="E63" s="2">
        <v>2022</v>
      </c>
      <c r="F63" s="1" t="s">
        <v>2524</v>
      </c>
      <c r="G63" s="1" t="s">
        <v>58</v>
      </c>
      <c r="H63" s="1" t="s">
        <v>2525</v>
      </c>
      <c r="I63" s="1">
        <v>42</v>
      </c>
      <c r="J63" s="1">
        <v>10</v>
      </c>
      <c r="K63" s="1">
        <v>2</v>
      </c>
      <c r="L63" s="1">
        <v>40</v>
      </c>
      <c r="M63" s="1" t="s">
        <v>2331</v>
      </c>
      <c r="N63" s="1" t="s">
        <v>504</v>
      </c>
      <c r="O63" s="1" t="s">
        <v>2332</v>
      </c>
      <c r="P63" s="1" t="s">
        <v>2333</v>
      </c>
      <c r="Q63" s="1" t="s">
        <v>2334</v>
      </c>
      <c r="R63" s="1">
        <v>32</v>
      </c>
      <c r="S63" s="1">
        <v>3</v>
      </c>
      <c r="T63" s="1" t="s">
        <v>2526</v>
      </c>
      <c r="U63" s="1" t="str">
        <f>HYPERLINK("http://dx.doi.org/10.1007/s10895-022-02929-y","http://dx.doi.org/10.1007/s10895-022-02929-y")</f>
        <v>http://dx.doi.org/10.1007/s10895-022-02929-y</v>
      </c>
      <c r="V63" s="1">
        <v>13</v>
      </c>
      <c r="W63" s="1" t="s">
        <v>2338</v>
      </c>
      <c r="X63" s="1" t="s">
        <v>67</v>
      </c>
      <c r="Y63" s="1" t="s">
        <v>842</v>
      </c>
      <c r="Z63" s="1">
        <v>35303237</v>
      </c>
      <c r="AA63" s="1" t="s">
        <v>48</v>
      </c>
    </row>
    <row r="64" spans="1:27" s="1" customFormat="1" ht="18.5" x14ac:dyDescent="0.45">
      <c r="A64" s="1" t="s">
        <v>2527</v>
      </c>
      <c r="B64" s="1" t="s">
        <v>2528</v>
      </c>
      <c r="C64" s="1" t="s">
        <v>746</v>
      </c>
      <c r="D64" s="1" t="s">
        <v>53</v>
      </c>
      <c r="E64" s="2">
        <v>2022</v>
      </c>
      <c r="F64" s="1" t="s">
        <v>2529</v>
      </c>
      <c r="G64" s="1" t="s">
        <v>58</v>
      </c>
      <c r="H64" s="1" t="s">
        <v>2530</v>
      </c>
      <c r="I64" s="1">
        <v>52</v>
      </c>
      <c r="J64" s="1">
        <v>1</v>
      </c>
      <c r="K64" s="1">
        <v>1</v>
      </c>
      <c r="L64" s="1">
        <v>8</v>
      </c>
      <c r="M64" s="1" t="s">
        <v>748</v>
      </c>
      <c r="N64" s="1" t="s">
        <v>749</v>
      </c>
      <c r="O64" s="1" t="s">
        <v>750</v>
      </c>
      <c r="P64" s="1" t="s">
        <v>751</v>
      </c>
      <c r="Q64" s="1" t="s">
        <v>752</v>
      </c>
      <c r="R64" s="1">
        <v>31</v>
      </c>
      <c r="S64" s="1">
        <v>1</v>
      </c>
      <c r="T64" s="1" t="s">
        <v>2531</v>
      </c>
      <c r="U64" s="1" t="str">
        <f>HYPERLINK("http://dx.doi.org/10.1142/S0218863521500120","http://dx.doi.org/10.1142/S0218863521500120")</f>
        <v>http://dx.doi.org/10.1142/S0218863521500120</v>
      </c>
      <c r="V64" s="1">
        <v>12</v>
      </c>
      <c r="W64" s="1" t="s">
        <v>754</v>
      </c>
      <c r="X64" s="1" t="s">
        <v>67</v>
      </c>
      <c r="Y64" s="1" t="s">
        <v>755</v>
      </c>
      <c r="Z64" s="1" t="s">
        <v>48</v>
      </c>
      <c r="AA64" s="1" t="s">
        <v>48</v>
      </c>
    </row>
    <row r="65" spans="1:27" s="1" customFormat="1" ht="18.5" x14ac:dyDescent="0.45">
      <c r="A65" s="1" t="s">
        <v>2597</v>
      </c>
      <c r="B65" s="1" t="s">
        <v>2598</v>
      </c>
      <c r="C65" s="1" t="s">
        <v>1150</v>
      </c>
      <c r="D65" s="1" t="s">
        <v>53</v>
      </c>
      <c r="E65" s="2">
        <v>2022</v>
      </c>
      <c r="F65" s="1" t="s">
        <v>2599</v>
      </c>
      <c r="G65" s="1" t="s">
        <v>58</v>
      </c>
      <c r="H65" s="1" t="s">
        <v>2600</v>
      </c>
      <c r="I65" s="1">
        <v>53</v>
      </c>
      <c r="J65" s="1">
        <v>0</v>
      </c>
      <c r="K65" s="1">
        <v>4</v>
      </c>
      <c r="L65" s="1">
        <v>9</v>
      </c>
      <c r="M65" s="1" t="s">
        <v>517</v>
      </c>
      <c r="N65" s="1" t="s">
        <v>239</v>
      </c>
      <c r="O65" s="1" t="s">
        <v>518</v>
      </c>
      <c r="P65" s="1" t="s">
        <v>1153</v>
      </c>
      <c r="Q65" s="1" t="s">
        <v>1154</v>
      </c>
      <c r="R65" s="1">
        <v>69</v>
      </c>
      <c r="S65" s="1">
        <v>1</v>
      </c>
      <c r="T65" s="1" t="s">
        <v>2601</v>
      </c>
      <c r="U65" s="1" t="str">
        <f>HYPERLINK("http://dx.doi.org/10.56042/alis.v69i1.53801","http://dx.doi.org/10.56042/alis.v69i1.53801")</f>
        <v>http://dx.doi.org/10.56042/alis.v69i1.53801</v>
      </c>
      <c r="V65" s="1">
        <v>15</v>
      </c>
      <c r="W65" s="1" t="s">
        <v>1158</v>
      </c>
      <c r="X65" s="1" t="s">
        <v>124</v>
      </c>
      <c r="Y65" s="1" t="s">
        <v>1158</v>
      </c>
      <c r="Z65" s="1" t="s">
        <v>48</v>
      </c>
      <c r="AA65" s="1" t="s">
        <v>125</v>
      </c>
    </row>
    <row r="66" spans="1:27" s="1" customFormat="1" ht="18.5" x14ac:dyDescent="0.45">
      <c r="A66" s="1" t="s">
        <v>2602</v>
      </c>
      <c r="B66" s="1" t="s">
        <v>2603</v>
      </c>
      <c r="C66" s="1" t="s">
        <v>2604</v>
      </c>
      <c r="D66" s="1" t="s">
        <v>53</v>
      </c>
      <c r="E66" s="2">
        <v>2022</v>
      </c>
      <c r="F66" s="1" t="s">
        <v>2605</v>
      </c>
      <c r="G66" s="1" t="s">
        <v>58</v>
      </c>
      <c r="H66" s="1" t="s">
        <v>2606</v>
      </c>
      <c r="I66" s="1">
        <v>110</v>
      </c>
      <c r="J66" s="1">
        <v>8</v>
      </c>
      <c r="K66" s="1">
        <v>0</v>
      </c>
      <c r="L66" s="1">
        <v>8</v>
      </c>
      <c r="M66" s="1" t="s">
        <v>2607</v>
      </c>
      <c r="N66" s="1" t="s">
        <v>361</v>
      </c>
      <c r="O66" s="1" t="s">
        <v>2608</v>
      </c>
      <c r="P66" s="1" t="s">
        <v>2609</v>
      </c>
      <c r="Q66" s="1" t="s">
        <v>2610</v>
      </c>
      <c r="R66" s="1">
        <v>46</v>
      </c>
      <c r="S66" s="1">
        <v>7</v>
      </c>
      <c r="T66" s="1" t="s">
        <v>2613</v>
      </c>
      <c r="U66" s="1" t="str">
        <f>HYPERLINK("http://dx.doi.org/10.1039/d1nj06007d","http://dx.doi.org/10.1039/d1nj06007d")</f>
        <v>http://dx.doi.org/10.1039/d1nj06007d</v>
      </c>
      <c r="V66" s="1">
        <v>12</v>
      </c>
      <c r="W66" s="1" t="s">
        <v>2292</v>
      </c>
      <c r="X66" s="1" t="s">
        <v>67</v>
      </c>
      <c r="Y66" s="1" t="s">
        <v>2293</v>
      </c>
      <c r="Z66" s="1" t="s">
        <v>48</v>
      </c>
      <c r="AA66" s="1" t="s">
        <v>48</v>
      </c>
    </row>
    <row r="67" spans="1:27" s="1" customFormat="1" ht="18.5" x14ac:dyDescent="0.45">
      <c r="A67" s="1" t="s">
        <v>1361</v>
      </c>
      <c r="B67" s="1" t="s">
        <v>2614</v>
      </c>
      <c r="C67" s="1" t="s">
        <v>2456</v>
      </c>
      <c r="D67" s="1" t="s">
        <v>1802</v>
      </c>
      <c r="E67" s="2">
        <v>2022</v>
      </c>
      <c r="F67" s="1" t="s">
        <v>2457</v>
      </c>
      <c r="G67" s="1" t="s">
        <v>58</v>
      </c>
      <c r="H67" s="1" t="s">
        <v>2458</v>
      </c>
      <c r="I67" s="1">
        <v>0</v>
      </c>
      <c r="J67" s="1">
        <v>0</v>
      </c>
      <c r="K67" s="1">
        <v>0</v>
      </c>
      <c r="L67" s="1">
        <v>0</v>
      </c>
      <c r="M67" s="1" t="s">
        <v>1805</v>
      </c>
      <c r="N67" s="1" t="s">
        <v>146</v>
      </c>
      <c r="O67" s="1" t="s">
        <v>1806</v>
      </c>
      <c r="P67" s="1" t="s">
        <v>48</v>
      </c>
      <c r="Q67" s="1" t="s">
        <v>48</v>
      </c>
      <c r="R67" s="1" t="s">
        <v>48</v>
      </c>
      <c r="S67" s="1" t="s">
        <v>48</v>
      </c>
      <c r="T67" s="1" t="s">
        <v>48</v>
      </c>
      <c r="U67" s="1" t="s">
        <v>48</v>
      </c>
      <c r="V67" s="1">
        <v>12</v>
      </c>
      <c r="W67" s="1" t="s">
        <v>2459</v>
      </c>
      <c r="X67" s="1" t="s">
        <v>592</v>
      </c>
      <c r="Y67" s="1" t="s">
        <v>2460</v>
      </c>
      <c r="Z67" s="1" t="s">
        <v>48</v>
      </c>
      <c r="AA67" s="1" t="s">
        <v>48</v>
      </c>
    </row>
    <row r="68" spans="1:27" s="1" customFormat="1" ht="18.5" x14ac:dyDescent="0.45">
      <c r="A68" s="1" t="s">
        <v>1361</v>
      </c>
      <c r="B68" s="1" t="s">
        <v>2774</v>
      </c>
      <c r="C68" s="1" t="s">
        <v>2456</v>
      </c>
      <c r="D68" s="1" t="s">
        <v>585</v>
      </c>
      <c r="E68" s="2">
        <v>2022</v>
      </c>
      <c r="F68" s="1" t="s">
        <v>2457</v>
      </c>
      <c r="G68" s="1" t="s">
        <v>58</v>
      </c>
      <c r="H68" s="1" t="s">
        <v>2458</v>
      </c>
      <c r="I68" s="1">
        <v>0</v>
      </c>
      <c r="J68" s="1">
        <v>0</v>
      </c>
      <c r="K68" s="1">
        <v>0</v>
      </c>
      <c r="L68" s="1">
        <v>0</v>
      </c>
      <c r="M68" s="1" t="s">
        <v>1805</v>
      </c>
      <c r="N68" s="1" t="s">
        <v>146</v>
      </c>
      <c r="O68" s="1" t="s">
        <v>1806</v>
      </c>
      <c r="P68" s="1" t="s">
        <v>48</v>
      </c>
      <c r="Q68" s="1" t="s">
        <v>48</v>
      </c>
      <c r="R68" s="1" t="s">
        <v>48</v>
      </c>
      <c r="S68" s="1" t="s">
        <v>48</v>
      </c>
      <c r="T68" s="1" t="s">
        <v>48</v>
      </c>
      <c r="U68" s="1" t="s">
        <v>48</v>
      </c>
      <c r="V68" s="1">
        <v>30</v>
      </c>
      <c r="W68" s="1" t="s">
        <v>2459</v>
      </c>
      <c r="X68" s="1" t="s">
        <v>592</v>
      </c>
      <c r="Y68" s="1" t="s">
        <v>2460</v>
      </c>
      <c r="Z68" s="1" t="s">
        <v>48</v>
      </c>
      <c r="AA68" s="1" t="s">
        <v>48</v>
      </c>
    </row>
    <row r="69" spans="1:27" s="1" customFormat="1" ht="18.5" x14ac:dyDescent="0.45">
      <c r="A69" s="1" t="s">
        <v>2835</v>
      </c>
      <c r="B69" s="1" t="s">
        <v>2836</v>
      </c>
      <c r="C69" s="1" t="s">
        <v>250</v>
      </c>
      <c r="D69" s="1" t="s">
        <v>53</v>
      </c>
      <c r="E69" s="2">
        <v>2022</v>
      </c>
      <c r="F69" s="1" t="s">
        <v>2837</v>
      </c>
      <c r="G69" s="1" t="s">
        <v>58</v>
      </c>
      <c r="H69" s="1" t="s">
        <v>1045</v>
      </c>
      <c r="I69" s="1">
        <v>35</v>
      </c>
      <c r="J69" s="1">
        <v>15</v>
      </c>
      <c r="K69" s="1">
        <v>1</v>
      </c>
      <c r="L69" s="1">
        <v>3</v>
      </c>
      <c r="M69" s="1" t="s">
        <v>252</v>
      </c>
      <c r="N69" s="1" t="s">
        <v>253</v>
      </c>
      <c r="O69" s="1" t="s">
        <v>254</v>
      </c>
      <c r="P69" s="1" t="s">
        <v>255</v>
      </c>
      <c r="Q69" s="1" t="s">
        <v>256</v>
      </c>
      <c r="R69" s="1">
        <v>41</v>
      </c>
      <c r="S69" s="1">
        <v>6</v>
      </c>
      <c r="T69" s="1" t="s">
        <v>2838</v>
      </c>
      <c r="U69" s="1" t="str">
        <f>HYPERLINK("http://dx.doi.org/10.1007/s40314-022-01987-z","http://dx.doi.org/10.1007/s40314-022-01987-z")</f>
        <v>http://dx.doi.org/10.1007/s40314-022-01987-z</v>
      </c>
      <c r="V69" s="1">
        <v>35</v>
      </c>
      <c r="W69" s="1" t="s">
        <v>260</v>
      </c>
      <c r="X69" s="1" t="s">
        <v>67</v>
      </c>
      <c r="Y69" s="1" t="s">
        <v>137</v>
      </c>
      <c r="Z69" s="1" t="s">
        <v>48</v>
      </c>
      <c r="AA69" s="1" t="s">
        <v>48</v>
      </c>
    </row>
    <row r="70" spans="1:27" s="1" customFormat="1" ht="18.5" x14ac:dyDescent="0.45">
      <c r="A70" s="1" t="s">
        <v>2839</v>
      </c>
      <c r="B70" s="1" t="s">
        <v>2840</v>
      </c>
      <c r="C70" s="1" t="s">
        <v>2841</v>
      </c>
      <c r="D70" s="1" t="s">
        <v>53</v>
      </c>
      <c r="E70" s="2">
        <v>2022</v>
      </c>
      <c r="F70" s="1" t="s">
        <v>2842</v>
      </c>
      <c r="G70" s="1" t="s">
        <v>58</v>
      </c>
      <c r="H70" s="1" t="s">
        <v>2843</v>
      </c>
      <c r="I70" s="1">
        <v>44</v>
      </c>
      <c r="J70" s="1">
        <v>8</v>
      </c>
      <c r="K70" s="1">
        <v>0</v>
      </c>
      <c r="L70" s="1">
        <v>2</v>
      </c>
      <c r="M70" s="1" t="s">
        <v>1523</v>
      </c>
      <c r="N70" s="1" t="s">
        <v>632</v>
      </c>
      <c r="O70" s="1" t="s">
        <v>1524</v>
      </c>
      <c r="P70" s="1" t="s">
        <v>2844</v>
      </c>
      <c r="Q70" s="1" t="s">
        <v>2845</v>
      </c>
      <c r="R70" s="1">
        <v>7</v>
      </c>
      <c r="S70" s="1">
        <v>1</v>
      </c>
      <c r="T70" s="1" t="s">
        <v>2848</v>
      </c>
      <c r="U70" s="1" t="str">
        <f>HYPERLINK("http://dx.doi.org/10.1007/s41066-020-00248-w","http://dx.doi.org/10.1007/s41066-020-00248-w")</f>
        <v>http://dx.doi.org/10.1007/s41066-020-00248-w</v>
      </c>
      <c r="V70" s="1">
        <v>9</v>
      </c>
      <c r="W70" s="1" t="s">
        <v>2849</v>
      </c>
      <c r="X70" s="1" t="s">
        <v>124</v>
      </c>
      <c r="Y70" s="1" t="s">
        <v>292</v>
      </c>
      <c r="Z70" s="1" t="s">
        <v>48</v>
      </c>
      <c r="AA70" s="1" t="s">
        <v>48</v>
      </c>
    </row>
    <row r="71" spans="1:27" s="1" customFormat="1" ht="18.5" x14ac:dyDescent="0.45">
      <c r="A71" s="1" t="s">
        <v>1361</v>
      </c>
      <c r="B71" s="1" t="s">
        <v>2850</v>
      </c>
      <c r="C71" s="1" t="s">
        <v>2456</v>
      </c>
      <c r="D71" s="1" t="s">
        <v>585</v>
      </c>
      <c r="E71" s="2">
        <v>2022</v>
      </c>
      <c r="F71" s="1" t="s">
        <v>2457</v>
      </c>
      <c r="G71" s="1" t="s">
        <v>58</v>
      </c>
      <c r="H71" s="1" t="s">
        <v>2458</v>
      </c>
      <c r="I71" s="1">
        <v>0</v>
      </c>
      <c r="J71" s="1">
        <v>0</v>
      </c>
      <c r="K71" s="1">
        <v>0</v>
      </c>
      <c r="L71" s="1">
        <v>0</v>
      </c>
      <c r="M71" s="1" t="s">
        <v>1805</v>
      </c>
      <c r="N71" s="1" t="s">
        <v>146</v>
      </c>
      <c r="O71" s="1" t="s">
        <v>1806</v>
      </c>
      <c r="P71" s="1" t="s">
        <v>48</v>
      </c>
      <c r="Q71" s="1" t="s">
        <v>48</v>
      </c>
      <c r="R71" s="1" t="s">
        <v>48</v>
      </c>
      <c r="S71" s="1" t="s">
        <v>48</v>
      </c>
      <c r="T71" s="1" t="s">
        <v>48</v>
      </c>
      <c r="U71" s="1" t="s">
        <v>48</v>
      </c>
      <c r="V71" s="1">
        <v>11</v>
      </c>
      <c r="W71" s="1" t="s">
        <v>2459</v>
      </c>
      <c r="X71" s="1" t="s">
        <v>592</v>
      </c>
      <c r="Y71" s="1" t="s">
        <v>2460</v>
      </c>
      <c r="Z71" s="1" t="s">
        <v>48</v>
      </c>
      <c r="AA71" s="1" t="s">
        <v>48</v>
      </c>
    </row>
    <row r="72" spans="1:27" s="1" customFormat="1" ht="18.5" x14ac:dyDescent="0.45">
      <c r="A72" s="1" t="s">
        <v>2906</v>
      </c>
      <c r="B72" s="1" t="s">
        <v>2907</v>
      </c>
      <c r="C72" s="1" t="s">
        <v>2908</v>
      </c>
      <c r="D72" s="1" t="s">
        <v>53</v>
      </c>
      <c r="E72" s="2">
        <v>2022</v>
      </c>
      <c r="F72" s="1" t="s">
        <v>2909</v>
      </c>
      <c r="G72" s="1" t="s">
        <v>58</v>
      </c>
      <c r="H72" s="1" t="s">
        <v>2910</v>
      </c>
      <c r="I72" s="1">
        <v>42</v>
      </c>
      <c r="J72" s="1">
        <v>7</v>
      </c>
      <c r="K72" s="1">
        <v>4</v>
      </c>
      <c r="L72" s="1">
        <v>5</v>
      </c>
      <c r="M72" s="1" t="s">
        <v>79</v>
      </c>
      <c r="N72" s="1" t="s">
        <v>80</v>
      </c>
      <c r="O72" s="1" t="s">
        <v>81</v>
      </c>
      <c r="P72" s="1" t="s">
        <v>2911</v>
      </c>
      <c r="Q72" s="1" t="s">
        <v>2912</v>
      </c>
      <c r="R72" s="1">
        <v>321</v>
      </c>
      <c r="S72" s="1" t="s">
        <v>48</v>
      </c>
      <c r="T72" s="1" t="s">
        <v>2913</v>
      </c>
      <c r="U72" s="1" t="str">
        <f>HYPERLINK("http://dx.doi.org/10.1016/j.virusres.2022.198904","http://dx.doi.org/10.1016/j.virusres.2022.198904")</f>
        <v>http://dx.doi.org/10.1016/j.virusres.2022.198904</v>
      </c>
      <c r="V72" s="1">
        <v>8</v>
      </c>
      <c r="W72" s="1" t="s">
        <v>2914</v>
      </c>
      <c r="X72" s="1" t="s">
        <v>67</v>
      </c>
      <c r="Y72" s="1" t="s">
        <v>2914</v>
      </c>
      <c r="Z72" s="1">
        <v>36044930</v>
      </c>
      <c r="AA72" s="1" t="s">
        <v>48</v>
      </c>
    </row>
    <row r="73" spans="1:27" s="1" customFormat="1" ht="18.5" x14ac:dyDescent="0.45">
      <c r="A73" s="1" t="s">
        <v>2915</v>
      </c>
      <c r="B73" s="1" t="s">
        <v>2916</v>
      </c>
      <c r="C73" s="1" t="s">
        <v>2917</v>
      </c>
      <c r="D73" s="1" t="s">
        <v>53</v>
      </c>
      <c r="E73" s="2">
        <v>2022</v>
      </c>
      <c r="F73" s="1" t="s">
        <v>2918</v>
      </c>
      <c r="G73" s="1" t="s">
        <v>115</v>
      </c>
      <c r="H73" s="1" t="s">
        <v>2919</v>
      </c>
      <c r="I73" s="1">
        <v>32</v>
      </c>
      <c r="J73" s="1">
        <v>1</v>
      </c>
      <c r="K73" s="1">
        <v>0</v>
      </c>
      <c r="L73" s="1">
        <v>1</v>
      </c>
      <c r="M73" s="1" t="s">
        <v>2270</v>
      </c>
      <c r="N73" s="1" t="s">
        <v>2271</v>
      </c>
      <c r="O73" s="1" t="s">
        <v>2272</v>
      </c>
      <c r="P73" s="1" t="s">
        <v>2920</v>
      </c>
      <c r="Q73" s="1" t="s">
        <v>2921</v>
      </c>
      <c r="R73" s="1">
        <v>8</v>
      </c>
      <c r="S73" s="1">
        <v>4</v>
      </c>
      <c r="T73" s="1" t="s">
        <v>2924</v>
      </c>
      <c r="U73" s="1" t="str">
        <f>HYPERLINK("http://dx.doi.org/10.1007/s40899-022-00699-w","http://dx.doi.org/10.1007/s40899-022-00699-w")</f>
        <v>http://dx.doi.org/10.1007/s40899-022-00699-w</v>
      </c>
      <c r="V73" s="1">
        <v>13</v>
      </c>
      <c r="W73" s="1" t="s">
        <v>205</v>
      </c>
      <c r="X73" s="1" t="s">
        <v>124</v>
      </c>
      <c r="Y73" s="1" t="s">
        <v>205</v>
      </c>
      <c r="Z73" s="1" t="s">
        <v>48</v>
      </c>
      <c r="AA73" s="1" t="s">
        <v>48</v>
      </c>
    </row>
    <row r="74" spans="1:27" s="1" customFormat="1" ht="18.5" x14ac:dyDescent="0.45">
      <c r="A74" s="1" t="s">
        <v>2925</v>
      </c>
      <c r="B74" s="1" t="s">
        <v>2926</v>
      </c>
      <c r="C74" s="1" t="s">
        <v>2927</v>
      </c>
      <c r="D74" s="1" t="s">
        <v>53</v>
      </c>
      <c r="E74" s="2">
        <v>2022</v>
      </c>
      <c r="F74" s="1" t="s">
        <v>2928</v>
      </c>
      <c r="G74" s="1" t="s">
        <v>58</v>
      </c>
      <c r="H74" s="1" t="s">
        <v>227</v>
      </c>
      <c r="I74" s="1">
        <v>65</v>
      </c>
      <c r="J74" s="1">
        <v>36</v>
      </c>
      <c r="K74" s="1">
        <v>6</v>
      </c>
      <c r="L74" s="1">
        <v>74</v>
      </c>
      <c r="M74" s="1" t="s">
        <v>1168</v>
      </c>
      <c r="N74" s="1" t="s">
        <v>504</v>
      </c>
      <c r="O74" s="1" t="s">
        <v>1169</v>
      </c>
      <c r="P74" s="1" t="s">
        <v>2929</v>
      </c>
      <c r="Q74" s="1" t="s">
        <v>2930</v>
      </c>
      <c r="R74" s="1">
        <v>82</v>
      </c>
      <c r="S74" s="1" t="s">
        <v>48</v>
      </c>
      <c r="T74" s="1" t="s">
        <v>2931</v>
      </c>
      <c r="U74" s="1" t="str">
        <f>HYPERLINK("http://dx.doi.org/10.1016/j.seps.2022.101232","http://dx.doi.org/10.1016/j.seps.2022.101232")</f>
        <v>http://dx.doi.org/10.1016/j.seps.2022.101232</v>
      </c>
      <c r="V74" s="1">
        <v>17</v>
      </c>
      <c r="W74" s="1" t="s">
        <v>2932</v>
      </c>
      <c r="X74" s="1" t="s">
        <v>944</v>
      </c>
      <c r="Y74" s="1" t="s">
        <v>2933</v>
      </c>
      <c r="Z74" s="1" t="s">
        <v>48</v>
      </c>
      <c r="AA74" s="1" t="s">
        <v>48</v>
      </c>
    </row>
    <row r="75" spans="1:27" s="1" customFormat="1" ht="18.5" x14ac:dyDescent="0.45">
      <c r="A75" s="1" t="s">
        <v>1361</v>
      </c>
      <c r="B75" s="1" t="s">
        <v>2934</v>
      </c>
      <c r="C75" s="1" t="s">
        <v>2456</v>
      </c>
      <c r="D75" s="1" t="s">
        <v>585</v>
      </c>
      <c r="E75" s="2">
        <v>2022</v>
      </c>
      <c r="F75" s="1" t="s">
        <v>2457</v>
      </c>
      <c r="G75" s="1" t="s">
        <v>58</v>
      </c>
      <c r="H75" s="1" t="s">
        <v>2458</v>
      </c>
      <c r="I75" s="1">
        <v>0</v>
      </c>
      <c r="J75" s="1">
        <v>0</v>
      </c>
      <c r="K75" s="1">
        <v>0</v>
      </c>
      <c r="L75" s="1">
        <v>0</v>
      </c>
      <c r="M75" s="1" t="s">
        <v>1805</v>
      </c>
      <c r="N75" s="1" t="s">
        <v>146</v>
      </c>
      <c r="O75" s="1" t="s">
        <v>1806</v>
      </c>
      <c r="P75" s="1" t="s">
        <v>48</v>
      </c>
      <c r="Q75" s="1" t="s">
        <v>48</v>
      </c>
      <c r="R75" s="1" t="s">
        <v>48</v>
      </c>
      <c r="S75" s="1" t="s">
        <v>48</v>
      </c>
      <c r="T75" s="1" t="s">
        <v>48</v>
      </c>
      <c r="U75" s="1" t="s">
        <v>48</v>
      </c>
      <c r="V75" s="1">
        <v>14</v>
      </c>
      <c r="W75" s="1" t="s">
        <v>2459</v>
      </c>
      <c r="X75" s="1" t="s">
        <v>592</v>
      </c>
      <c r="Y75" s="1" t="s">
        <v>2460</v>
      </c>
      <c r="Z75" s="1" t="s">
        <v>48</v>
      </c>
      <c r="AA75" s="1" t="s">
        <v>48</v>
      </c>
    </row>
    <row r="76" spans="1:27" s="1" customFormat="1" ht="18.5" x14ac:dyDescent="0.45">
      <c r="A76" s="1" t="s">
        <v>1361</v>
      </c>
      <c r="B76" s="1" t="s">
        <v>2935</v>
      </c>
      <c r="C76" s="1" t="s">
        <v>2456</v>
      </c>
      <c r="D76" s="1" t="s">
        <v>585</v>
      </c>
      <c r="E76" s="2">
        <v>2022</v>
      </c>
      <c r="F76" s="1" t="s">
        <v>2457</v>
      </c>
      <c r="G76" s="1" t="s">
        <v>58</v>
      </c>
      <c r="H76" s="1" t="s">
        <v>2458</v>
      </c>
      <c r="I76" s="1">
        <v>0</v>
      </c>
      <c r="J76" s="1">
        <v>0</v>
      </c>
      <c r="K76" s="1">
        <v>0</v>
      </c>
      <c r="L76" s="1">
        <v>0</v>
      </c>
      <c r="M76" s="1" t="s">
        <v>1805</v>
      </c>
      <c r="N76" s="1" t="s">
        <v>146</v>
      </c>
      <c r="O76" s="1" t="s">
        <v>1806</v>
      </c>
      <c r="P76" s="1" t="s">
        <v>48</v>
      </c>
      <c r="Q76" s="1" t="s">
        <v>48</v>
      </c>
      <c r="R76" s="1" t="s">
        <v>48</v>
      </c>
      <c r="S76" s="1" t="s">
        <v>48</v>
      </c>
      <c r="T76" s="1" t="s">
        <v>48</v>
      </c>
      <c r="U76" s="1" t="s">
        <v>48</v>
      </c>
      <c r="V76" s="1">
        <v>23</v>
      </c>
      <c r="W76" s="1" t="s">
        <v>2459</v>
      </c>
      <c r="X76" s="1" t="s">
        <v>592</v>
      </c>
      <c r="Y76" s="1" t="s">
        <v>2460</v>
      </c>
      <c r="Z76" s="1" t="s">
        <v>48</v>
      </c>
      <c r="AA76" s="1" t="s">
        <v>48</v>
      </c>
    </row>
    <row r="77" spans="1:27" s="1" customFormat="1" ht="18.5" x14ac:dyDescent="0.45">
      <c r="A77" s="1" t="s">
        <v>2965</v>
      </c>
      <c r="B77" s="1" t="s">
        <v>2966</v>
      </c>
      <c r="C77" s="1" t="s">
        <v>2967</v>
      </c>
      <c r="D77" s="1" t="s">
        <v>53</v>
      </c>
      <c r="E77" s="2">
        <v>2022</v>
      </c>
      <c r="F77" s="1" t="s">
        <v>2968</v>
      </c>
      <c r="G77" s="1" t="s">
        <v>58</v>
      </c>
      <c r="H77" s="1" t="s">
        <v>2754</v>
      </c>
      <c r="I77" s="1">
        <v>165</v>
      </c>
      <c r="J77" s="1">
        <v>119</v>
      </c>
      <c r="K77" s="1">
        <v>2</v>
      </c>
      <c r="L77" s="1">
        <v>3</v>
      </c>
      <c r="M77" s="1" t="s">
        <v>79</v>
      </c>
      <c r="N77" s="1" t="s">
        <v>80</v>
      </c>
      <c r="O77" s="1" t="s">
        <v>81</v>
      </c>
      <c r="P77" s="1" t="s">
        <v>2969</v>
      </c>
      <c r="Q77" s="1" t="s">
        <v>48</v>
      </c>
      <c r="R77" s="1">
        <v>2</v>
      </c>
      <c r="S77" s="1">
        <v>2</v>
      </c>
      <c r="T77" s="1" t="s">
        <v>2970</v>
      </c>
      <c r="U77" s="1" t="str">
        <f>HYPERLINK("http://dx.doi.org/10.1016/j.afres.2022.100185","http://dx.doi.org/10.1016/j.afres.2022.100185")</f>
        <v>http://dx.doi.org/10.1016/j.afres.2022.100185</v>
      </c>
      <c r="V77" s="1">
        <v>17</v>
      </c>
      <c r="W77" s="1" t="s">
        <v>2971</v>
      </c>
      <c r="X77" s="1" t="s">
        <v>124</v>
      </c>
      <c r="Y77" s="1" t="s">
        <v>2971</v>
      </c>
      <c r="Z77" s="1" t="s">
        <v>48</v>
      </c>
      <c r="AA77" s="1" t="s">
        <v>48</v>
      </c>
    </row>
    <row r="78" spans="1:27" s="1" customFormat="1" ht="18.5" x14ac:dyDescent="0.45">
      <c r="A78" s="1" t="s">
        <v>2972</v>
      </c>
      <c r="B78" s="1" t="s">
        <v>2973</v>
      </c>
      <c r="C78" s="1" t="s">
        <v>2974</v>
      </c>
      <c r="D78" s="1" t="s">
        <v>53</v>
      </c>
      <c r="E78" s="2">
        <v>2022</v>
      </c>
      <c r="F78" s="1" t="s">
        <v>2975</v>
      </c>
      <c r="G78" s="1" t="s">
        <v>58</v>
      </c>
      <c r="H78" s="1" t="s">
        <v>2976</v>
      </c>
      <c r="I78" s="1">
        <v>78</v>
      </c>
      <c r="J78" s="1">
        <v>3</v>
      </c>
      <c r="K78" s="1">
        <v>4</v>
      </c>
      <c r="L78" s="1">
        <v>13</v>
      </c>
      <c r="M78" s="1" t="s">
        <v>2977</v>
      </c>
      <c r="N78" s="1" t="s">
        <v>938</v>
      </c>
      <c r="O78" s="1" t="s">
        <v>2978</v>
      </c>
      <c r="P78" s="1" t="s">
        <v>2979</v>
      </c>
      <c r="Q78" s="1" t="s">
        <v>48</v>
      </c>
      <c r="R78" s="1">
        <v>30</v>
      </c>
      <c r="S78" s="1">
        <v>4</v>
      </c>
      <c r="T78" s="1" t="s">
        <v>2980</v>
      </c>
      <c r="U78" s="1" t="str">
        <f>HYPERLINK("http://dx.doi.org/10.53908/NMMR.300404","http://dx.doi.org/10.53908/NMMR.300404")</f>
        <v>http://dx.doi.org/10.53908/NMMR.300404</v>
      </c>
      <c r="V78" s="1">
        <v>26</v>
      </c>
      <c r="W78" s="1" t="s">
        <v>562</v>
      </c>
      <c r="X78" s="1" t="s">
        <v>124</v>
      </c>
      <c r="Y78" s="1" t="s">
        <v>510</v>
      </c>
      <c r="Z78" s="1" t="s">
        <v>48</v>
      </c>
      <c r="AA78" s="1" t="s">
        <v>550</v>
      </c>
    </row>
    <row r="79" spans="1:27" s="1" customFormat="1" ht="18.5" x14ac:dyDescent="0.45">
      <c r="A79" s="1" t="s">
        <v>3102</v>
      </c>
      <c r="B79" s="1" t="s">
        <v>3103</v>
      </c>
      <c r="C79" s="1" t="s">
        <v>3104</v>
      </c>
      <c r="D79" s="1" t="s">
        <v>111</v>
      </c>
      <c r="E79" s="2">
        <v>2022</v>
      </c>
      <c r="F79" s="1" t="s">
        <v>3105</v>
      </c>
      <c r="G79" s="1" t="s">
        <v>58</v>
      </c>
      <c r="H79" s="1" t="s">
        <v>3106</v>
      </c>
      <c r="I79" s="1">
        <v>75</v>
      </c>
      <c r="J79" s="1">
        <v>8</v>
      </c>
      <c r="K79" s="1">
        <v>0</v>
      </c>
      <c r="L79" s="1">
        <v>19</v>
      </c>
      <c r="M79" s="1" t="s">
        <v>1183</v>
      </c>
      <c r="N79" s="1" t="s">
        <v>1184</v>
      </c>
      <c r="O79" s="1" t="s">
        <v>1185</v>
      </c>
      <c r="P79" s="1" t="s">
        <v>3107</v>
      </c>
      <c r="Q79" s="1" t="s">
        <v>48</v>
      </c>
      <c r="R79" s="1" t="s">
        <v>48</v>
      </c>
      <c r="S79" s="1" t="s">
        <v>48</v>
      </c>
      <c r="T79" s="1" t="s">
        <v>3108</v>
      </c>
      <c r="U79" s="1" t="str">
        <f>HYPERLINK("http://dx.doi.org/10.1021/acssuschemeng.2c04640","http://dx.doi.org/10.1021/acssuschemeng.2c04640")</f>
        <v>http://dx.doi.org/10.1021/acssuschemeng.2c04640</v>
      </c>
      <c r="V79" s="1">
        <v>13</v>
      </c>
      <c r="W79" s="1" t="s">
        <v>3109</v>
      </c>
      <c r="X79" s="1" t="s">
        <v>67</v>
      </c>
      <c r="Y79" s="1" t="s">
        <v>3110</v>
      </c>
      <c r="Z79" s="1" t="s">
        <v>48</v>
      </c>
      <c r="AA79" s="1" t="s">
        <v>48</v>
      </c>
    </row>
    <row r="80" spans="1:27" s="1" customFormat="1" ht="18.5" x14ac:dyDescent="0.45">
      <c r="A80" s="1" t="s">
        <v>3111</v>
      </c>
      <c r="B80" s="1" t="s">
        <v>3112</v>
      </c>
      <c r="C80" s="1" t="s">
        <v>3113</v>
      </c>
      <c r="D80" s="1" t="s">
        <v>3114</v>
      </c>
      <c r="E80" s="2">
        <v>2022</v>
      </c>
      <c r="F80" s="1" t="s">
        <v>3115</v>
      </c>
      <c r="G80" s="1" t="s">
        <v>58</v>
      </c>
      <c r="H80" s="1" t="s">
        <v>3116</v>
      </c>
      <c r="I80" s="1">
        <v>28</v>
      </c>
      <c r="J80" s="1">
        <v>3</v>
      </c>
      <c r="K80" s="1">
        <v>0</v>
      </c>
      <c r="L80" s="1">
        <v>1</v>
      </c>
      <c r="M80" s="1" t="s">
        <v>2283</v>
      </c>
      <c r="N80" s="1" t="s">
        <v>632</v>
      </c>
      <c r="O80" s="1" t="s">
        <v>2284</v>
      </c>
      <c r="P80" s="1" t="s">
        <v>3117</v>
      </c>
      <c r="Q80" s="1" t="s">
        <v>3118</v>
      </c>
      <c r="R80" s="1">
        <v>2022</v>
      </c>
      <c r="S80" s="1" t="s">
        <v>48</v>
      </c>
      <c r="T80" s="1" t="s">
        <v>3121</v>
      </c>
      <c r="U80" s="1" t="str">
        <f>HYPERLINK("http://dx.doi.org/10.1155/2022/2392109","http://dx.doi.org/10.1155/2022/2392109")</f>
        <v>http://dx.doi.org/10.1155/2022/2392109</v>
      </c>
      <c r="V80" s="1">
        <v>11</v>
      </c>
      <c r="W80" s="1" t="s">
        <v>2292</v>
      </c>
      <c r="X80" s="1" t="s">
        <v>67</v>
      </c>
      <c r="Y80" s="1" t="s">
        <v>2293</v>
      </c>
      <c r="Z80" s="1" t="s">
        <v>48</v>
      </c>
      <c r="AA80" s="1" t="s">
        <v>125</v>
      </c>
    </row>
    <row r="81" spans="1:27" s="1" customFormat="1" ht="18.5" x14ac:dyDescent="0.45">
      <c r="A81" s="1" t="s">
        <v>1361</v>
      </c>
      <c r="B81" s="1" t="s">
        <v>3122</v>
      </c>
      <c r="C81" s="1" t="s">
        <v>2456</v>
      </c>
      <c r="D81" s="1" t="s">
        <v>585</v>
      </c>
      <c r="E81" s="2">
        <v>2022</v>
      </c>
      <c r="F81" s="1" t="s">
        <v>2457</v>
      </c>
      <c r="G81" s="1" t="s">
        <v>58</v>
      </c>
      <c r="H81" s="1" t="s">
        <v>2458</v>
      </c>
      <c r="I81" s="1">
        <v>0</v>
      </c>
      <c r="J81" s="1">
        <v>0</v>
      </c>
      <c r="K81" s="1">
        <v>0</v>
      </c>
      <c r="L81" s="1">
        <v>0</v>
      </c>
      <c r="M81" s="1" t="s">
        <v>1805</v>
      </c>
      <c r="N81" s="1" t="s">
        <v>146</v>
      </c>
      <c r="O81" s="1" t="s">
        <v>1806</v>
      </c>
      <c r="P81" s="1" t="s">
        <v>48</v>
      </c>
      <c r="Q81" s="1" t="s">
        <v>48</v>
      </c>
      <c r="R81" s="1" t="s">
        <v>48</v>
      </c>
      <c r="S81" s="1" t="s">
        <v>48</v>
      </c>
      <c r="T81" s="1" t="s">
        <v>48</v>
      </c>
      <c r="U81" s="1" t="s">
        <v>48</v>
      </c>
      <c r="V81" s="1">
        <v>16</v>
      </c>
      <c r="W81" s="1" t="s">
        <v>2459</v>
      </c>
      <c r="X81" s="1" t="s">
        <v>592</v>
      </c>
      <c r="Y81" s="1" t="s">
        <v>2460</v>
      </c>
      <c r="Z81" s="1" t="s">
        <v>48</v>
      </c>
      <c r="AA81" s="1" t="s">
        <v>48</v>
      </c>
    </row>
    <row r="82" spans="1:27" s="1" customFormat="1" ht="18.5" x14ac:dyDescent="0.45">
      <c r="A82" s="1" t="s">
        <v>3153</v>
      </c>
      <c r="B82" s="1" t="s">
        <v>3154</v>
      </c>
      <c r="C82" s="1" t="s">
        <v>571</v>
      </c>
      <c r="D82" s="1" t="s">
        <v>53</v>
      </c>
      <c r="E82" s="2">
        <v>2022</v>
      </c>
      <c r="F82" s="1" t="s">
        <v>3155</v>
      </c>
      <c r="G82" s="1" t="s">
        <v>58</v>
      </c>
      <c r="H82" s="1" t="s">
        <v>227</v>
      </c>
      <c r="I82" s="1">
        <v>58</v>
      </c>
      <c r="J82" s="1">
        <v>37</v>
      </c>
      <c r="K82" s="1">
        <v>3</v>
      </c>
      <c r="L82" s="1">
        <v>12</v>
      </c>
      <c r="M82" s="1" t="s">
        <v>572</v>
      </c>
      <c r="N82" s="1" t="s">
        <v>573</v>
      </c>
      <c r="O82" s="1" t="s">
        <v>574</v>
      </c>
      <c r="P82" s="1" t="s">
        <v>575</v>
      </c>
      <c r="Q82" s="1" t="s">
        <v>576</v>
      </c>
      <c r="R82" s="1">
        <v>56</v>
      </c>
      <c r="S82" s="1">
        <v>4</v>
      </c>
      <c r="T82" s="1" t="s">
        <v>3156</v>
      </c>
      <c r="U82" s="1" t="str">
        <f>HYPERLINK("http://dx.doi.org/10.1051/ro/2022102","http://dx.doi.org/10.1051/ro/2022102")</f>
        <v>http://dx.doi.org/10.1051/ro/2022102</v>
      </c>
      <c r="V82" s="1">
        <v>31</v>
      </c>
      <c r="W82" s="1" t="s">
        <v>580</v>
      </c>
      <c r="X82" s="1" t="s">
        <v>67</v>
      </c>
      <c r="Y82" s="1" t="s">
        <v>580</v>
      </c>
      <c r="Z82" s="1" t="s">
        <v>48</v>
      </c>
      <c r="AA82" s="1" t="s">
        <v>3157</v>
      </c>
    </row>
    <row r="83" spans="1:27" s="1" customFormat="1" ht="18.5" x14ac:dyDescent="0.45">
      <c r="A83" s="1" t="s">
        <v>3158</v>
      </c>
      <c r="B83" s="1" t="s">
        <v>3159</v>
      </c>
      <c r="C83" s="1" t="s">
        <v>3160</v>
      </c>
      <c r="D83" s="1" t="s">
        <v>53</v>
      </c>
      <c r="E83" s="2">
        <v>2022</v>
      </c>
      <c r="F83" s="1" t="s">
        <v>3161</v>
      </c>
      <c r="G83" s="1" t="s">
        <v>58</v>
      </c>
      <c r="H83" s="1" t="s">
        <v>3162</v>
      </c>
      <c r="I83" s="1">
        <v>147</v>
      </c>
      <c r="J83" s="1">
        <v>9</v>
      </c>
      <c r="K83" s="1">
        <v>3</v>
      </c>
      <c r="L83" s="1">
        <v>13</v>
      </c>
      <c r="M83" s="1" t="s">
        <v>60</v>
      </c>
      <c r="N83" s="1" t="s">
        <v>158</v>
      </c>
      <c r="O83" s="1" t="s">
        <v>159</v>
      </c>
      <c r="P83" s="1" t="s">
        <v>3163</v>
      </c>
      <c r="Q83" s="1" t="s">
        <v>3164</v>
      </c>
      <c r="R83" s="1">
        <v>139</v>
      </c>
      <c r="S83" s="1" t="s">
        <v>48</v>
      </c>
      <c r="T83" s="1" t="s">
        <v>3165</v>
      </c>
      <c r="U83" s="1" t="str">
        <f>HYPERLINK("http://dx.doi.org/10.1016/j.marpol.2022.105034","http://dx.doi.org/10.1016/j.marpol.2022.105034")</f>
        <v>http://dx.doi.org/10.1016/j.marpol.2022.105034</v>
      </c>
      <c r="V83" s="1">
        <v>16</v>
      </c>
      <c r="W83" s="1" t="s">
        <v>3166</v>
      </c>
      <c r="X83" s="1" t="s">
        <v>106</v>
      </c>
      <c r="Y83" s="1" t="s">
        <v>3167</v>
      </c>
      <c r="Z83" s="1" t="s">
        <v>48</v>
      </c>
      <c r="AA83" s="1" t="s">
        <v>48</v>
      </c>
    </row>
    <row r="84" spans="1:27" s="1" customFormat="1" ht="18.5" x14ac:dyDescent="0.45">
      <c r="A84" s="1" t="s">
        <v>3185</v>
      </c>
      <c r="B84" s="1" t="s">
        <v>3186</v>
      </c>
      <c r="C84" s="1" t="s">
        <v>513</v>
      </c>
      <c r="D84" s="1" t="s">
        <v>53</v>
      </c>
      <c r="E84" s="2">
        <v>2022</v>
      </c>
      <c r="F84" s="1" t="s">
        <v>3187</v>
      </c>
      <c r="G84" s="1" t="s">
        <v>115</v>
      </c>
      <c r="H84" s="1" t="s">
        <v>1862</v>
      </c>
      <c r="I84" s="1">
        <v>36</v>
      </c>
      <c r="J84" s="1">
        <v>1</v>
      </c>
      <c r="K84" s="1">
        <v>0</v>
      </c>
      <c r="L84" s="1">
        <v>7</v>
      </c>
      <c r="M84" s="1" t="s">
        <v>517</v>
      </c>
      <c r="N84" s="1" t="s">
        <v>239</v>
      </c>
      <c r="O84" s="1" t="s">
        <v>518</v>
      </c>
      <c r="P84" s="1" t="s">
        <v>519</v>
      </c>
      <c r="Q84" s="1" t="s">
        <v>520</v>
      </c>
      <c r="R84" s="1">
        <v>60</v>
      </c>
      <c r="S84" s="1">
        <v>9</v>
      </c>
      <c r="T84" s="1" t="s">
        <v>3188</v>
      </c>
      <c r="U84" s="1" t="str">
        <f>HYPERLINK("http://dx.doi.org/10.56042/ijeb.v60i09.65142","http://dx.doi.org/10.56042/ijeb.v60i09.65142")</f>
        <v>http://dx.doi.org/10.56042/ijeb.v60i09.65142</v>
      </c>
      <c r="V84" s="1">
        <v>12</v>
      </c>
      <c r="W84" s="1" t="s">
        <v>522</v>
      </c>
      <c r="X84" s="1" t="s">
        <v>67</v>
      </c>
      <c r="Y84" s="1" t="s">
        <v>523</v>
      </c>
      <c r="Z84" s="1" t="s">
        <v>48</v>
      </c>
      <c r="AA84" s="1" t="s">
        <v>125</v>
      </c>
    </row>
    <row r="85" spans="1:27" s="1" customFormat="1" ht="18.5" x14ac:dyDescent="0.45">
      <c r="A85" s="1" t="s">
        <v>3198</v>
      </c>
      <c r="B85" s="1" t="s">
        <v>3199</v>
      </c>
      <c r="C85" s="1" t="s">
        <v>3200</v>
      </c>
      <c r="D85" s="1" t="s">
        <v>53</v>
      </c>
      <c r="E85" s="2">
        <v>2022</v>
      </c>
      <c r="F85" s="1" t="s">
        <v>3201</v>
      </c>
      <c r="G85" s="1" t="s">
        <v>58</v>
      </c>
      <c r="H85" s="1" t="s">
        <v>3202</v>
      </c>
      <c r="I85" s="1">
        <v>74</v>
      </c>
      <c r="J85" s="1">
        <v>1</v>
      </c>
      <c r="K85" s="1">
        <v>6</v>
      </c>
      <c r="L85" s="1">
        <v>11</v>
      </c>
      <c r="M85" s="1" t="s">
        <v>3203</v>
      </c>
      <c r="N85" s="1" t="s">
        <v>3204</v>
      </c>
      <c r="O85" s="1" t="s">
        <v>3205</v>
      </c>
      <c r="P85" s="1" t="s">
        <v>3206</v>
      </c>
      <c r="Q85" s="1" t="s">
        <v>3207</v>
      </c>
      <c r="R85" s="1">
        <v>27</v>
      </c>
      <c r="S85" s="1">
        <v>2</v>
      </c>
      <c r="T85" s="1" t="s">
        <v>3208</v>
      </c>
      <c r="U85" s="1" t="str">
        <f>HYPERLINK("http://dx.doi.org/10.21315/aamj2022.27.2.5","http://dx.doi.org/10.21315/aamj2022.27.2.5")</f>
        <v>http://dx.doi.org/10.21315/aamj2022.27.2.5</v>
      </c>
      <c r="V85" s="1">
        <v>23</v>
      </c>
      <c r="W85" s="1" t="s">
        <v>562</v>
      </c>
      <c r="X85" s="1" t="s">
        <v>124</v>
      </c>
      <c r="Y85" s="1" t="s">
        <v>510</v>
      </c>
      <c r="Z85" s="1" t="s">
        <v>48</v>
      </c>
      <c r="AA85" s="1" t="s">
        <v>125</v>
      </c>
    </row>
    <row r="86" spans="1:27" s="1" customFormat="1" ht="18.5" x14ac:dyDescent="0.45">
      <c r="A86" s="1" t="s">
        <v>1361</v>
      </c>
      <c r="B86" s="1" t="s">
        <v>3209</v>
      </c>
      <c r="C86" s="1" t="s">
        <v>2456</v>
      </c>
      <c r="D86" s="1" t="s">
        <v>585</v>
      </c>
      <c r="E86" s="2">
        <v>2022</v>
      </c>
      <c r="F86" s="1" t="s">
        <v>2457</v>
      </c>
      <c r="G86" s="1" t="s">
        <v>58</v>
      </c>
      <c r="H86" s="1" t="s">
        <v>2458</v>
      </c>
      <c r="I86" s="1">
        <v>0</v>
      </c>
      <c r="J86" s="1">
        <v>0</v>
      </c>
      <c r="K86" s="1">
        <v>0</v>
      </c>
      <c r="L86" s="1">
        <v>0</v>
      </c>
      <c r="M86" s="1" t="s">
        <v>1805</v>
      </c>
      <c r="N86" s="1" t="s">
        <v>146</v>
      </c>
      <c r="O86" s="1" t="s">
        <v>1806</v>
      </c>
      <c r="P86" s="1" t="s">
        <v>48</v>
      </c>
      <c r="Q86" s="1" t="s">
        <v>48</v>
      </c>
      <c r="R86" s="1" t="s">
        <v>48</v>
      </c>
      <c r="S86" s="1" t="s">
        <v>48</v>
      </c>
      <c r="T86" s="1" t="s">
        <v>48</v>
      </c>
      <c r="U86" s="1" t="s">
        <v>48</v>
      </c>
      <c r="V86" s="1">
        <v>22</v>
      </c>
      <c r="W86" s="1" t="s">
        <v>2459</v>
      </c>
      <c r="X86" s="1" t="s">
        <v>592</v>
      </c>
      <c r="Y86" s="1" t="s">
        <v>2460</v>
      </c>
      <c r="Z86" s="1" t="s">
        <v>48</v>
      </c>
      <c r="AA86" s="1" t="s">
        <v>48</v>
      </c>
    </row>
    <row r="87" spans="1:27" s="1" customFormat="1" ht="18.5" x14ac:dyDescent="0.45">
      <c r="A87" s="1" t="s">
        <v>3240</v>
      </c>
      <c r="B87" s="1" t="s">
        <v>3241</v>
      </c>
      <c r="C87" s="1" t="s">
        <v>3242</v>
      </c>
      <c r="D87" s="1" t="s">
        <v>53</v>
      </c>
      <c r="E87" s="2">
        <v>2022</v>
      </c>
      <c r="F87" s="1" t="s">
        <v>3243</v>
      </c>
      <c r="G87" s="1" t="s">
        <v>58</v>
      </c>
      <c r="H87" s="1" t="s">
        <v>3085</v>
      </c>
      <c r="I87" s="1">
        <v>42</v>
      </c>
      <c r="J87" s="1">
        <v>12</v>
      </c>
      <c r="K87" s="1">
        <v>0</v>
      </c>
      <c r="L87" s="1">
        <v>13</v>
      </c>
      <c r="M87" s="1" t="s">
        <v>421</v>
      </c>
      <c r="N87" s="1" t="s">
        <v>422</v>
      </c>
      <c r="O87" s="1" t="s">
        <v>423</v>
      </c>
      <c r="P87" s="1" t="s">
        <v>48</v>
      </c>
      <c r="Q87" s="1" t="s">
        <v>3244</v>
      </c>
      <c r="R87" s="1">
        <v>6</v>
      </c>
      <c r="S87" s="1" t="s">
        <v>48</v>
      </c>
      <c r="T87" s="1" t="s">
        <v>3247</v>
      </c>
      <c r="U87" s="1" t="str">
        <f>HYPERLINK("http://dx.doi.org/10.3389/fsufs.2022.820264","http://dx.doi.org/10.3389/fsufs.2022.820264")</f>
        <v>http://dx.doi.org/10.3389/fsufs.2022.820264</v>
      </c>
      <c r="V87" s="1">
        <v>13</v>
      </c>
      <c r="W87" s="1" t="s">
        <v>2971</v>
      </c>
      <c r="X87" s="1" t="s">
        <v>67</v>
      </c>
      <c r="Y87" s="1" t="s">
        <v>2971</v>
      </c>
      <c r="Z87" s="1" t="s">
        <v>48</v>
      </c>
      <c r="AA87" s="1" t="s">
        <v>125</v>
      </c>
    </row>
    <row r="88" spans="1:27" s="1" customFormat="1" ht="18.5" x14ac:dyDescent="0.45">
      <c r="A88" s="1" t="s">
        <v>3277</v>
      </c>
      <c r="B88" s="1" t="s">
        <v>3278</v>
      </c>
      <c r="C88" s="1" t="s">
        <v>3279</v>
      </c>
      <c r="D88" s="1" t="s">
        <v>53</v>
      </c>
      <c r="E88" s="2">
        <v>2022</v>
      </c>
      <c r="F88" s="1" t="s">
        <v>3280</v>
      </c>
      <c r="G88" s="1" t="s">
        <v>58</v>
      </c>
      <c r="H88" s="1" t="s">
        <v>1134</v>
      </c>
      <c r="I88" s="1">
        <v>70</v>
      </c>
      <c r="J88" s="1">
        <v>13</v>
      </c>
      <c r="K88" s="1">
        <v>6</v>
      </c>
      <c r="L88" s="1">
        <v>20</v>
      </c>
      <c r="M88" s="1" t="s">
        <v>748</v>
      </c>
      <c r="N88" s="1" t="s">
        <v>749</v>
      </c>
      <c r="O88" s="1" t="s">
        <v>750</v>
      </c>
      <c r="P88" s="1" t="s">
        <v>3281</v>
      </c>
      <c r="Q88" s="1" t="s">
        <v>3282</v>
      </c>
      <c r="R88" s="1">
        <v>27</v>
      </c>
      <c r="S88" s="1">
        <v>1</v>
      </c>
      <c r="T88" s="1" t="s">
        <v>3283</v>
      </c>
      <c r="U88" s="1" t="str">
        <f>HYPERLINK("http://dx.doi.org/10.1142/S1084946722500054","http://dx.doi.org/10.1142/S1084946722500054")</f>
        <v>http://dx.doi.org/10.1142/S1084946722500054</v>
      </c>
      <c r="V88" s="1">
        <v>24</v>
      </c>
      <c r="W88" s="1" t="s">
        <v>1630</v>
      </c>
      <c r="X88" s="1" t="s">
        <v>124</v>
      </c>
      <c r="Y88" s="1" t="s">
        <v>510</v>
      </c>
      <c r="Z88" s="1" t="s">
        <v>48</v>
      </c>
      <c r="AA88" s="1" t="s">
        <v>48</v>
      </c>
    </row>
    <row r="89" spans="1:27" s="1" customFormat="1" ht="18.5" x14ac:dyDescent="0.45">
      <c r="A89" s="1" t="s">
        <v>3284</v>
      </c>
      <c r="B89" s="1" t="s">
        <v>3285</v>
      </c>
      <c r="C89" s="1" t="s">
        <v>3286</v>
      </c>
      <c r="D89" s="1" t="s">
        <v>53</v>
      </c>
      <c r="E89" s="2">
        <v>2022</v>
      </c>
      <c r="F89" s="1" t="s">
        <v>3287</v>
      </c>
      <c r="G89" s="1" t="s">
        <v>58</v>
      </c>
      <c r="H89" s="1" t="s">
        <v>131</v>
      </c>
      <c r="I89" s="1">
        <v>29</v>
      </c>
      <c r="J89" s="1">
        <v>2</v>
      </c>
      <c r="K89" s="1">
        <v>0</v>
      </c>
      <c r="L89" s="1">
        <v>2</v>
      </c>
      <c r="M89" s="1" t="s">
        <v>313</v>
      </c>
      <c r="N89" s="1" t="s">
        <v>314</v>
      </c>
      <c r="O89" s="1" t="s">
        <v>3288</v>
      </c>
      <c r="P89" s="1" t="s">
        <v>48</v>
      </c>
      <c r="Q89" s="1" t="s">
        <v>3289</v>
      </c>
      <c r="R89" s="1">
        <v>7</v>
      </c>
      <c r="S89" s="1">
        <v>7</v>
      </c>
      <c r="T89" s="1" t="s">
        <v>3292</v>
      </c>
      <c r="U89" s="1" t="str">
        <f>HYPERLINK("http://dx.doi.org/10.3934/math.2022738","http://dx.doi.org/10.3934/math.2022738")</f>
        <v>http://dx.doi.org/10.3934/math.2022738</v>
      </c>
      <c r="V89" s="1">
        <v>22</v>
      </c>
      <c r="W89" s="1" t="s">
        <v>1041</v>
      </c>
      <c r="X89" s="1" t="s">
        <v>67</v>
      </c>
      <c r="Y89" s="1" t="s">
        <v>137</v>
      </c>
      <c r="Z89" s="1" t="s">
        <v>48</v>
      </c>
      <c r="AA89" s="1" t="s">
        <v>125</v>
      </c>
    </row>
    <row r="90" spans="1:27" s="1" customFormat="1" ht="18.5" x14ac:dyDescent="0.45">
      <c r="A90" s="1" t="s">
        <v>3309</v>
      </c>
      <c r="B90" s="1" t="s">
        <v>3310</v>
      </c>
      <c r="C90" s="1" t="s">
        <v>3311</v>
      </c>
      <c r="D90" s="1" t="s">
        <v>53</v>
      </c>
      <c r="E90" s="2">
        <v>2022</v>
      </c>
      <c r="F90" s="1" t="s">
        <v>3312</v>
      </c>
      <c r="G90" s="1" t="s">
        <v>58</v>
      </c>
      <c r="H90" s="1" t="s">
        <v>2513</v>
      </c>
      <c r="I90" s="1">
        <v>38</v>
      </c>
      <c r="J90" s="1">
        <v>16</v>
      </c>
      <c r="K90" s="1">
        <v>9</v>
      </c>
      <c r="L90" s="1">
        <v>37</v>
      </c>
      <c r="M90" s="1" t="s">
        <v>3313</v>
      </c>
      <c r="N90" s="1" t="s">
        <v>3314</v>
      </c>
      <c r="O90" s="1" t="s">
        <v>3315</v>
      </c>
      <c r="P90" s="1" t="s">
        <v>3316</v>
      </c>
      <c r="Q90" s="1" t="s">
        <v>3317</v>
      </c>
      <c r="R90" s="1">
        <v>25</v>
      </c>
      <c r="S90" s="1">
        <v>2</v>
      </c>
      <c r="T90" s="1" t="s">
        <v>3318</v>
      </c>
      <c r="U90" s="1" t="str">
        <f>HYPERLINK("http://dx.doi.org/10.1016/j.aspen.2022.101882","http://dx.doi.org/10.1016/j.aspen.2022.101882")</f>
        <v>http://dx.doi.org/10.1016/j.aspen.2022.101882</v>
      </c>
      <c r="V90" s="1">
        <v>10</v>
      </c>
      <c r="W90" s="1" t="s">
        <v>2521</v>
      </c>
      <c r="X90" s="1" t="s">
        <v>67</v>
      </c>
      <c r="Y90" s="1" t="s">
        <v>2521</v>
      </c>
      <c r="Z90" s="1" t="s">
        <v>48</v>
      </c>
      <c r="AA90" s="1" t="s">
        <v>48</v>
      </c>
    </row>
    <row r="91" spans="1:27" s="1" customFormat="1" ht="18.5" x14ac:dyDescent="0.45">
      <c r="A91" s="1" t="s">
        <v>3453</v>
      </c>
      <c r="B91" s="1" t="s">
        <v>3454</v>
      </c>
      <c r="C91" s="1" t="s">
        <v>2589</v>
      </c>
      <c r="D91" s="1" t="s">
        <v>53</v>
      </c>
      <c r="E91" s="2">
        <v>2022</v>
      </c>
      <c r="F91" s="1" t="s">
        <v>3455</v>
      </c>
      <c r="G91" s="1" t="s">
        <v>58</v>
      </c>
      <c r="H91" s="1" t="s">
        <v>3456</v>
      </c>
      <c r="I91" s="1">
        <v>35</v>
      </c>
      <c r="J91" s="1">
        <v>3</v>
      </c>
      <c r="K91" s="1">
        <v>0</v>
      </c>
      <c r="L91" s="1">
        <v>5</v>
      </c>
      <c r="M91" s="1" t="s">
        <v>198</v>
      </c>
      <c r="N91" s="1" t="s">
        <v>146</v>
      </c>
      <c r="O91" s="1" t="s">
        <v>199</v>
      </c>
      <c r="P91" s="1" t="s">
        <v>2592</v>
      </c>
      <c r="Q91" s="1" t="s">
        <v>2593</v>
      </c>
      <c r="R91" s="1">
        <v>120</v>
      </c>
      <c r="S91" s="1">
        <v>9</v>
      </c>
      <c r="T91" s="1" t="s">
        <v>3457</v>
      </c>
      <c r="U91" s="1" t="str">
        <f>HYPERLINK("http://dx.doi.org/10.1080/00268976.2022.2047236","http://dx.doi.org/10.1080/00268976.2022.2047236")</f>
        <v>http://dx.doi.org/10.1080/00268976.2022.2047236</v>
      </c>
      <c r="V91" s="1">
        <v>8</v>
      </c>
      <c r="W91" s="1" t="s">
        <v>2595</v>
      </c>
      <c r="X91" s="1" t="s">
        <v>67</v>
      </c>
      <c r="Y91" s="1" t="s">
        <v>2596</v>
      </c>
      <c r="Z91" s="1" t="s">
        <v>48</v>
      </c>
      <c r="AA91" s="1" t="s">
        <v>48</v>
      </c>
    </row>
    <row r="92" spans="1:27" s="1" customFormat="1" ht="18.5" x14ac:dyDescent="0.45">
      <c r="A92" s="1" t="s">
        <v>3545</v>
      </c>
      <c r="B92" s="1" t="s">
        <v>3546</v>
      </c>
      <c r="C92" s="1" t="s">
        <v>3547</v>
      </c>
      <c r="D92" s="1" t="s">
        <v>53</v>
      </c>
      <c r="E92" s="2">
        <v>2022</v>
      </c>
      <c r="F92" s="1" t="s">
        <v>3548</v>
      </c>
      <c r="G92" s="1" t="s">
        <v>3475</v>
      </c>
      <c r="H92" s="1" t="s">
        <v>3549</v>
      </c>
      <c r="I92" s="1">
        <v>123</v>
      </c>
      <c r="J92" s="1">
        <v>30</v>
      </c>
      <c r="K92" s="1">
        <v>8</v>
      </c>
      <c r="L92" s="1">
        <v>70</v>
      </c>
      <c r="M92" s="1" t="s">
        <v>79</v>
      </c>
      <c r="N92" s="1" t="s">
        <v>80</v>
      </c>
      <c r="O92" s="1" t="s">
        <v>81</v>
      </c>
      <c r="P92" s="1" t="s">
        <v>48</v>
      </c>
      <c r="Q92" s="1" t="s">
        <v>3550</v>
      </c>
      <c r="R92" s="1">
        <v>22</v>
      </c>
      <c r="S92" s="1" t="s">
        <v>48</v>
      </c>
      <c r="T92" s="1" t="s">
        <v>3551</v>
      </c>
      <c r="U92" s="1" t="str">
        <f>HYPERLINK("http://dx.doi.org/10.1016/j.rhisph.2022.100524","http://dx.doi.org/10.1016/j.rhisph.2022.100524")</f>
        <v>http://dx.doi.org/10.1016/j.rhisph.2022.100524</v>
      </c>
      <c r="V92" s="1">
        <v>9</v>
      </c>
      <c r="W92" s="1" t="s">
        <v>3552</v>
      </c>
      <c r="X92" s="1" t="s">
        <v>67</v>
      </c>
      <c r="Y92" s="1" t="s">
        <v>3553</v>
      </c>
      <c r="Z92" s="1" t="s">
        <v>48</v>
      </c>
      <c r="AA92" s="1" t="s">
        <v>48</v>
      </c>
    </row>
    <row r="93" spans="1:27" s="1" customFormat="1" ht="18.5" x14ac:dyDescent="0.45">
      <c r="A93" s="1" t="s">
        <v>3554</v>
      </c>
      <c r="B93" s="1" t="s">
        <v>3555</v>
      </c>
      <c r="C93" s="1" t="s">
        <v>1018</v>
      </c>
      <c r="D93" s="1" t="s">
        <v>111</v>
      </c>
      <c r="E93" s="2">
        <v>2022</v>
      </c>
      <c r="F93" s="1" t="s">
        <v>3556</v>
      </c>
      <c r="G93" s="1" t="s">
        <v>3557</v>
      </c>
      <c r="H93" s="1" t="s">
        <v>3558</v>
      </c>
      <c r="I93" s="1">
        <v>108</v>
      </c>
      <c r="J93" s="1">
        <v>39</v>
      </c>
      <c r="K93" s="1">
        <v>3</v>
      </c>
      <c r="L93" s="1">
        <v>21</v>
      </c>
      <c r="M93" s="1" t="s">
        <v>252</v>
      </c>
      <c r="N93" s="1" t="s">
        <v>253</v>
      </c>
      <c r="O93" s="1" t="s">
        <v>254</v>
      </c>
      <c r="P93" s="1" t="s">
        <v>1024</v>
      </c>
      <c r="Q93" s="1" t="s">
        <v>1025</v>
      </c>
      <c r="R93" s="1" t="s">
        <v>48</v>
      </c>
      <c r="S93" s="1" t="s">
        <v>48</v>
      </c>
      <c r="T93" s="1" t="s">
        <v>3559</v>
      </c>
      <c r="U93" s="1" t="str">
        <f>HYPERLINK("http://dx.doi.org/10.1007/s11356-022-20665-5","http://dx.doi.org/10.1007/s11356-022-20665-5")</f>
        <v>http://dx.doi.org/10.1007/s11356-022-20665-5</v>
      </c>
      <c r="V93" s="1">
        <v>24</v>
      </c>
      <c r="W93" s="1" t="s">
        <v>438</v>
      </c>
      <c r="X93" s="1" t="s">
        <v>67</v>
      </c>
      <c r="Y93" s="1" t="s">
        <v>439</v>
      </c>
      <c r="Z93" s="1">
        <v>35588033</v>
      </c>
      <c r="AA93" s="1" t="s">
        <v>48</v>
      </c>
    </row>
    <row r="94" spans="1:27" s="1" customFormat="1" ht="18.5" x14ac:dyDescent="0.45">
      <c r="A94" s="1" t="s">
        <v>3560</v>
      </c>
      <c r="B94" s="1" t="s">
        <v>3561</v>
      </c>
      <c r="C94" s="1" t="s">
        <v>250</v>
      </c>
      <c r="D94" s="1" t="s">
        <v>53</v>
      </c>
      <c r="E94" s="2">
        <v>2022</v>
      </c>
      <c r="F94" s="1" t="s">
        <v>3562</v>
      </c>
      <c r="G94" s="1" t="s">
        <v>3563</v>
      </c>
      <c r="H94" s="1" t="s">
        <v>3564</v>
      </c>
      <c r="I94" s="1">
        <v>54</v>
      </c>
      <c r="J94" s="1">
        <v>32</v>
      </c>
      <c r="K94" s="1">
        <v>0</v>
      </c>
      <c r="L94" s="1">
        <v>16</v>
      </c>
      <c r="M94" s="1" t="s">
        <v>252</v>
      </c>
      <c r="N94" s="1" t="s">
        <v>253</v>
      </c>
      <c r="O94" s="1" t="s">
        <v>254</v>
      </c>
      <c r="P94" s="1" t="s">
        <v>255</v>
      </c>
      <c r="Q94" s="1" t="s">
        <v>256</v>
      </c>
      <c r="R94" s="1">
        <v>41</v>
      </c>
      <c r="S94" s="1">
        <v>3</v>
      </c>
      <c r="T94" s="1" t="s">
        <v>3565</v>
      </c>
      <c r="U94" s="1" t="str">
        <f>HYPERLINK("http://dx.doi.org/10.1007/s40314-022-01806-5","http://dx.doi.org/10.1007/s40314-022-01806-5")</f>
        <v>http://dx.doi.org/10.1007/s40314-022-01806-5</v>
      </c>
      <c r="V94" s="1">
        <v>28</v>
      </c>
      <c r="W94" s="1" t="s">
        <v>260</v>
      </c>
      <c r="X94" s="1" t="s">
        <v>67</v>
      </c>
      <c r="Y94" s="1" t="s">
        <v>137</v>
      </c>
      <c r="Z94" s="1" t="s">
        <v>48</v>
      </c>
      <c r="AA94" s="1" t="s">
        <v>550</v>
      </c>
    </row>
    <row r="95" spans="1:27" s="1" customFormat="1" ht="18.5" x14ac:dyDescent="0.45">
      <c r="A95" s="1" t="s">
        <v>3603</v>
      </c>
      <c r="B95" s="1" t="s">
        <v>3604</v>
      </c>
      <c r="C95" s="1" t="s">
        <v>3605</v>
      </c>
      <c r="D95" s="1" t="s">
        <v>53</v>
      </c>
      <c r="E95" s="2">
        <v>2022</v>
      </c>
      <c r="F95" s="1" t="s">
        <v>3606</v>
      </c>
      <c r="G95" s="1" t="s">
        <v>3607</v>
      </c>
      <c r="H95" s="1" t="s">
        <v>3608</v>
      </c>
      <c r="I95" s="1">
        <v>47</v>
      </c>
      <c r="J95" s="1">
        <v>18</v>
      </c>
      <c r="K95" s="1">
        <v>1</v>
      </c>
      <c r="L95" s="1">
        <v>4</v>
      </c>
      <c r="M95" s="1" t="s">
        <v>79</v>
      </c>
      <c r="N95" s="1" t="s">
        <v>80</v>
      </c>
      <c r="O95" s="1" t="s">
        <v>81</v>
      </c>
      <c r="P95" s="1" t="s">
        <v>3609</v>
      </c>
      <c r="Q95" s="1" t="s">
        <v>3610</v>
      </c>
      <c r="R95" s="1">
        <v>34</v>
      </c>
      <c r="S95" s="1">
        <v>10</v>
      </c>
      <c r="T95" s="1" t="s">
        <v>3611</v>
      </c>
      <c r="U95" s="1" t="str">
        <f>HYPERLINK("http://dx.doi.org/10.1016/j.jksuci.2021.12.011","http://dx.doi.org/10.1016/j.jksuci.2021.12.011")</f>
        <v>http://dx.doi.org/10.1016/j.jksuci.2021.12.011</v>
      </c>
      <c r="V95" s="1">
        <v>14</v>
      </c>
      <c r="W95" s="1" t="s">
        <v>291</v>
      </c>
      <c r="X95" s="1" t="s">
        <v>67</v>
      </c>
      <c r="Y95" s="1" t="s">
        <v>292</v>
      </c>
      <c r="Z95" s="1" t="s">
        <v>48</v>
      </c>
      <c r="AA95" s="1" t="s">
        <v>125</v>
      </c>
    </row>
    <row r="96" spans="1:27" s="1" customFormat="1" ht="18.5" x14ac:dyDescent="0.45">
      <c r="A96" s="1" t="s">
        <v>3612</v>
      </c>
      <c r="B96" s="1" t="s">
        <v>3613</v>
      </c>
      <c r="C96" s="1" t="s">
        <v>3213</v>
      </c>
      <c r="D96" s="1" t="s">
        <v>1114</v>
      </c>
      <c r="E96" s="2">
        <v>2022</v>
      </c>
      <c r="F96" s="1" t="s">
        <v>3614</v>
      </c>
      <c r="G96" s="1" t="s">
        <v>3615</v>
      </c>
      <c r="H96" s="1" t="s">
        <v>3616</v>
      </c>
      <c r="I96" s="1">
        <v>80</v>
      </c>
      <c r="J96" s="1">
        <v>17</v>
      </c>
      <c r="K96" s="1">
        <v>3</v>
      </c>
      <c r="L96" s="1">
        <v>45</v>
      </c>
      <c r="M96" s="1" t="s">
        <v>503</v>
      </c>
      <c r="N96" s="1" t="s">
        <v>542</v>
      </c>
      <c r="O96" s="1" t="s">
        <v>543</v>
      </c>
      <c r="P96" s="1" t="s">
        <v>3218</v>
      </c>
      <c r="Q96" s="1" t="s">
        <v>3219</v>
      </c>
      <c r="R96" s="1">
        <v>38</v>
      </c>
      <c r="S96" s="1">
        <v>11</v>
      </c>
      <c r="T96" s="1" t="s">
        <v>3617</v>
      </c>
      <c r="U96" s="1" t="str">
        <f>HYPERLINK("http://dx.doi.org/10.1007/s11274-022-03396-0","http://dx.doi.org/10.1007/s11274-022-03396-0")</f>
        <v>http://dx.doi.org/10.1007/s11274-022-03396-0</v>
      </c>
      <c r="V96" s="1">
        <v>15</v>
      </c>
      <c r="W96" s="1" t="s">
        <v>1528</v>
      </c>
      <c r="X96" s="1" t="s">
        <v>67</v>
      </c>
      <c r="Y96" s="1" t="s">
        <v>1528</v>
      </c>
      <c r="Z96" s="1">
        <v>35999473</v>
      </c>
      <c r="AA96" s="1" t="s">
        <v>48</v>
      </c>
    </row>
    <row r="97" spans="1:27" s="1" customFormat="1" ht="18.5" x14ac:dyDescent="0.45">
      <c r="A97" s="1" t="s">
        <v>3618</v>
      </c>
      <c r="B97" s="1" t="s">
        <v>3619</v>
      </c>
      <c r="C97" s="1" t="s">
        <v>3620</v>
      </c>
      <c r="D97" s="1" t="s">
        <v>53</v>
      </c>
      <c r="E97" s="2">
        <v>2022</v>
      </c>
      <c r="F97" s="1" t="s">
        <v>3621</v>
      </c>
      <c r="G97" s="1" t="s">
        <v>58</v>
      </c>
      <c r="H97" s="1" t="s">
        <v>3622</v>
      </c>
      <c r="I97" s="1">
        <v>39</v>
      </c>
      <c r="J97" s="1">
        <v>1</v>
      </c>
      <c r="K97" s="1">
        <v>0</v>
      </c>
      <c r="L97" s="1">
        <v>2</v>
      </c>
      <c r="M97" s="1" t="s">
        <v>3623</v>
      </c>
      <c r="N97" s="1" t="s">
        <v>239</v>
      </c>
      <c r="O97" s="1" t="s">
        <v>3624</v>
      </c>
      <c r="P97" s="1" t="s">
        <v>3625</v>
      </c>
      <c r="Q97" s="1" t="s">
        <v>3626</v>
      </c>
      <c r="R97" s="1">
        <v>13</v>
      </c>
      <c r="S97" s="1">
        <v>1</v>
      </c>
      <c r="T97" s="1" t="s">
        <v>48</v>
      </c>
      <c r="U97" s="1" t="s">
        <v>48</v>
      </c>
      <c r="V97" s="1">
        <v>8</v>
      </c>
      <c r="W97" s="1" t="s">
        <v>426</v>
      </c>
      <c r="X97" s="1" t="s">
        <v>124</v>
      </c>
      <c r="Y97" s="1" t="s">
        <v>426</v>
      </c>
      <c r="Z97" s="1" t="s">
        <v>48</v>
      </c>
      <c r="AA97" s="1" t="s">
        <v>48</v>
      </c>
    </row>
    <row r="98" spans="1:27" s="1" customFormat="1" ht="18.5" x14ac:dyDescent="0.45">
      <c r="A98" s="1" t="s">
        <v>3643</v>
      </c>
      <c r="B98" s="1" t="s">
        <v>3644</v>
      </c>
      <c r="C98" s="1" t="s">
        <v>3645</v>
      </c>
      <c r="D98" s="1" t="s">
        <v>53</v>
      </c>
      <c r="E98" s="2">
        <v>2022</v>
      </c>
      <c r="F98" s="1" t="s">
        <v>3646</v>
      </c>
      <c r="G98" s="1" t="s">
        <v>3647</v>
      </c>
      <c r="H98" s="1" t="s">
        <v>3648</v>
      </c>
      <c r="I98" s="1">
        <v>43</v>
      </c>
      <c r="J98" s="1">
        <v>0</v>
      </c>
      <c r="K98" s="1">
        <v>0</v>
      </c>
      <c r="L98" s="1">
        <v>1</v>
      </c>
      <c r="M98" s="1" t="s">
        <v>958</v>
      </c>
      <c r="N98" s="1" t="s">
        <v>632</v>
      </c>
      <c r="O98" s="1" t="s">
        <v>959</v>
      </c>
      <c r="P98" s="1" t="s">
        <v>3649</v>
      </c>
      <c r="Q98" s="1" t="s">
        <v>48</v>
      </c>
      <c r="R98" s="1">
        <v>15</v>
      </c>
      <c r="S98" s="1" t="s">
        <v>48</v>
      </c>
      <c r="T98" s="1" t="s">
        <v>3650</v>
      </c>
      <c r="U98" s="1" t="str">
        <f>HYPERLINK("http://dx.doi.org/10.1177/11786221211065485","http://dx.doi.org/10.1177/11786221211065485")</f>
        <v>http://dx.doi.org/10.1177/11786221211065485</v>
      </c>
      <c r="V98" s="1">
        <v>16</v>
      </c>
      <c r="W98" s="1" t="s">
        <v>438</v>
      </c>
      <c r="X98" s="1" t="s">
        <v>124</v>
      </c>
      <c r="Y98" s="1" t="s">
        <v>439</v>
      </c>
      <c r="Z98" s="1" t="s">
        <v>48</v>
      </c>
      <c r="AA98" s="1" t="s">
        <v>48</v>
      </c>
    </row>
    <row r="99" spans="1:27" s="1" customFormat="1" ht="18.5" x14ac:dyDescent="0.45">
      <c r="A99" s="1" t="s">
        <v>3700</v>
      </c>
      <c r="B99" s="1" t="s">
        <v>3701</v>
      </c>
      <c r="C99" s="1" t="s">
        <v>3702</v>
      </c>
      <c r="D99" s="1" t="s">
        <v>53</v>
      </c>
      <c r="E99" s="2">
        <v>2022</v>
      </c>
      <c r="F99" s="1" t="s">
        <v>3703</v>
      </c>
      <c r="G99" s="1" t="s">
        <v>58</v>
      </c>
      <c r="H99" s="1" t="s">
        <v>3704</v>
      </c>
      <c r="I99" s="1">
        <v>100</v>
      </c>
      <c r="J99" s="1">
        <v>0</v>
      </c>
      <c r="K99" s="1">
        <v>0</v>
      </c>
      <c r="L99" s="1">
        <v>4</v>
      </c>
      <c r="M99" s="1" t="s">
        <v>2331</v>
      </c>
      <c r="N99" s="1" t="s">
        <v>504</v>
      </c>
      <c r="O99" s="1" t="s">
        <v>2332</v>
      </c>
      <c r="P99" s="1" t="s">
        <v>3705</v>
      </c>
      <c r="Q99" s="1" t="s">
        <v>3706</v>
      </c>
      <c r="R99" s="1">
        <v>54</v>
      </c>
      <c r="S99" s="1">
        <v>10</v>
      </c>
      <c r="T99" s="1" t="s">
        <v>3707</v>
      </c>
      <c r="U99" s="1" t="str">
        <f>HYPERLINK("http://dx.doi.org/10.1007/s10714-022-03010-6","http://dx.doi.org/10.1007/s10714-022-03010-6")</f>
        <v>http://dx.doi.org/10.1007/s10714-022-03010-6</v>
      </c>
      <c r="V99" s="1">
        <v>14</v>
      </c>
      <c r="W99" s="1" t="s">
        <v>3708</v>
      </c>
      <c r="X99" s="1" t="s">
        <v>67</v>
      </c>
      <c r="Y99" s="1" t="s">
        <v>3709</v>
      </c>
      <c r="Z99" s="1" t="s">
        <v>48</v>
      </c>
      <c r="AA99" s="1" t="s">
        <v>2074</v>
      </c>
    </row>
    <row r="100" spans="1:27" s="1" customFormat="1" ht="18.5" x14ac:dyDescent="0.45">
      <c r="A100" s="1" t="s">
        <v>3665</v>
      </c>
      <c r="B100" s="1" t="s">
        <v>3710</v>
      </c>
      <c r="C100" s="1" t="s">
        <v>3667</v>
      </c>
      <c r="D100" s="1" t="s">
        <v>53</v>
      </c>
      <c r="E100" s="2">
        <v>2022</v>
      </c>
      <c r="F100" s="1" t="s">
        <v>3711</v>
      </c>
      <c r="G100" s="1" t="s">
        <v>3669</v>
      </c>
      <c r="H100" s="1" t="s">
        <v>3670</v>
      </c>
      <c r="I100" s="1">
        <v>32</v>
      </c>
      <c r="J100" s="1">
        <v>5</v>
      </c>
      <c r="K100" s="1">
        <v>0</v>
      </c>
      <c r="L100" s="1">
        <v>0</v>
      </c>
      <c r="M100" s="1" t="s">
        <v>503</v>
      </c>
      <c r="N100" s="1" t="s">
        <v>504</v>
      </c>
      <c r="O100" s="1" t="s">
        <v>505</v>
      </c>
      <c r="P100" s="1" t="s">
        <v>3671</v>
      </c>
      <c r="Q100" s="1" t="s">
        <v>48</v>
      </c>
      <c r="R100" s="1" t="s">
        <v>48</v>
      </c>
      <c r="S100" s="1">
        <v>7</v>
      </c>
      <c r="T100" s="1" t="s">
        <v>3712</v>
      </c>
      <c r="U100" s="1" t="str">
        <f>HYPERLINK("http://dx.doi.org/10.1007/JHEP07(2022)089","http://dx.doi.org/10.1007/JHEP07(2022)089")</f>
        <v>http://dx.doi.org/10.1007/JHEP07(2022)089</v>
      </c>
      <c r="V100" s="1">
        <v>36</v>
      </c>
      <c r="W100" s="1" t="s">
        <v>3673</v>
      </c>
      <c r="X100" s="1" t="s">
        <v>67</v>
      </c>
      <c r="Y100" s="1" t="s">
        <v>670</v>
      </c>
      <c r="Z100" s="1" t="s">
        <v>48</v>
      </c>
      <c r="AA100" s="1" t="s">
        <v>3590</v>
      </c>
    </row>
    <row r="101" spans="1:27" s="1" customFormat="1" ht="18.5" x14ac:dyDescent="0.45">
      <c r="A101" s="1" t="s">
        <v>3747</v>
      </c>
      <c r="B101" s="1" t="s">
        <v>3748</v>
      </c>
      <c r="C101" s="1" t="s">
        <v>3749</v>
      </c>
      <c r="D101" s="1" t="s">
        <v>3750</v>
      </c>
      <c r="E101" s="2">
        <v>2022</v>
      </c>
      <c r="F101" s="1" t="s">
        <v>3751</v>
      </c>
      <c r="G101" s="1" t="s">
        <v>3752</v>
      </c>
      <c r="H101" s="1" t="s">
        <v>3753</v>
      </c>
      <c r="I101" s="1">
        <v>11</v>
      </c>
      <c r="J101" s="1">
        <v>0</v>
      </c>
      <c r="K101" s="1">
        <v>0</v>
      </c>
      <c r="L101" s="1">
        <v>1</v>
      </c>
      <c r="M101" s="1" t="s">
        <v>3754</v>
      </c>
      <c r="N101" s="1" t="s">
        <v>504</v>
      </c>
      <c r="O101" s="1" t="s">
        <v>3755</v>
      </c>
      <c r="P101" s="1" t="s">
        <v>48</v>
      </c>
      <c r="Q101" s="1" t="s">
        <v>48</v>
      </c>
      <c r="R101" s="1" t="s">
        <v>48</v>
      </c>
      <c r="S101" s="1" t="s">
        <v>48</v>
      </c>
      <c r="T101" s="1" t="s">
        <v>3756</v>
      </c>
      <c r="U101" s="1" t="str">
        <f>HYPERLINK("http://dx.doi.org/10.1109/IEMTRONICS55184.2022.9795826","http://dx.doi.org/10.1109/IEMTRONICS55184.2022.9795826")</f>
        <v>http://dx.doi.org/10.1109/IEMTRONICS55184.2022.9795826</v>
      </c>
      <c r="V101" s="1">
        <v>8</v>
      </c>
      <c r="W101" s="1" t="s">
        <v>3757</v>
      </c>
      <c r="X101" s="1" t="s">
        <v>3758</v>
      </c>
      <c r="Y101" s="1" t="s">
        <v>3759</v>
      </c>
      <c r="Z101" s="1" t="s">
        <v>48</v>
      </c>
      <c r="AA101" s="1" t="s">
        <v>48</v>
      </c>
    </row>
    <row r="102" spans="1:27" s="1" customFormat="1" ht="18.5" x14ac:dyDescent="0.45">
      <c r="A102" s="1" t="s">
        <v>3797</v>
      </c>
      <c r="B102" s="1" t="s">
        <v>3798</v>
      </c>
      <c r="C102" s="1" t="s">
        <v>3799</v>
      </c>
      <c r="D102" s="1" t="s">
        <v>53</v>
      </c>
      <c r="E102" s="2">
        <v>2022</v>
      </c>
      <c r="F102" s="1" t="s">
        <v>3800</v>
      </c>
      <c r="G102" s="1" t="s">
        <v>3752</v>
      </c>
      <c r="H102" s="1" t="s">
        <v>3801</v>
      </c>
      <c r="I102" s="1">
        <v>46</v>
      </c>
      <c r="J102" s="1">
        <v>40</v>
      </c>
      <c r="K102" s="1">
        <v>2</v>
      </c>
      <c r="L102" s="1">
        <v>14</v>
      </c>
      <c r="M102" s="1" t="s">
        <v>79</v>
      </c>
      <c r="N102" s="1" t="s">
        <v>80</v>
      </c>
      <c r="O102" s="1" t="s">
        <v>81</v>
      </c>
      <c r="P102" s="1" t="s">
        <v>3802</v>
      </c>
      <c r="Q102" s="1" t="s">
        <v>3803</v>
      </c>
      <c r="R102" s="1">
        <v>11</v>
      </c>
      <c r="S102" s="1">
        <v>1</v>
      </c>
      <c r="T102" s="1" t="s">
        <v>3804</v>
      </c>
      <c r="U102" s="1" t="str">
        <f>HYPERLINK("http://dx.doi.org/10.1016/j.jum.2021.09.002","http://dx.doi.org/10.1016/j.jum.2021.09.002")</f>
        <v>http://dx.doi.org/10.1016/j.jum.2021.09.002</v>
      </c>
      <c r="V102" s="1">
        <v>13</v>
      </c>
      <c r="W102" s="1" t="s">
        <v>3805</v>
      </c>
      <c r="X102" s="1" t="s">
        <v>124</v>
      </c>
      <c r="Y102" s="1" t="s">
        <v>3805</v>
      </c>
      <c r="Z102" s="1" t="s">
        <v>48</v>
      </c>
      <c r="AA102" s="1" t="s">
        <v>366</v>
      </c>
    </row>
    <row r="103" spans="1:27" s="1" customFormat="1" ht="18.5" x14ac:dyDescent="0.45">
      <c r="A103" s="1" t="s">
        <v>3806</v>
      </c>
      <c r="B103" s="1" t="s">
        <v>3807</v>
      </c>
      <c r="C103" s="1" t="s">
        <v>3808</v>
      </c>
      <c r="D103" s="1" t="s">
        <v>3750</v>
      </c>
      <c r="E103" s="2">
        <v>2022</v>
      </c>
      <c r="F103" s="1" t="s">
        <v>3809</v>
      </c>
      <c r="G103" s="1" t="s">
        <v>3810</v>
      </c>
      <c r="H103" s="1" t="s">
        <v>3811</v>
      </c>
      <c r="I103" s="1">
        <v>20</v>
      </c>
      <c r="J103" s="1">
        <v>0</v>
      </c>
      <c r="K103" s="1">
        <v>0</v>
      </c>
      <c r="L103" s="1">
        <v>2</v>
      </c>
      <c r="M103" s="1" t="s">
        <v>3812</v>
      </c>
      <c r="N103" s="1" t="s">
        <v>2271</v>
      </c>
      <c r="O103" s="1" t="s">
        <v>2272</v>
      </c>
      <c r="P103" s="1" t="s">
        <v>3813</v>
      </c>
      <c r="Q103" s="1" t="s">
        <v>3814</v>
      </c>
      <c r="R103" s="1">
        <v>1534</v>
      </c>
      <c r="S103" s="1" t="s">
        <v>48</v>
      </c>
      <c r="T103" s="1" t="s">
        <v>3816</v>
      </c>
      <c r="U103" s="1" t="str">
        <f>HYPERLINK("http://dx.doi.org/10.1007/978-3-030-96040-7_58","http://dx.doi.org/10.1007/978-3-030-96040-7_58")</f>
        <v>http://dx.doi.org/10.1007/978-3-030-96040-7_58</v>
      </c>
      <c r="V103" s="1">
        <v>17</v>
      </c>
      <c r="W103" s="1" t="s">
        <v>3817</v>
      </c>
      <c r="X103" s="1" t="s">
        <v>3758</v>
      </c>
      <c r="Y103" s="1" t="s">
        <v>292</v>
      </c>
      <c r="Z103" s="1" t="s">
        <v>48</v>
      </c>
      <c r="AA103" s="1" t="s">
        <v>48</v>
      </c>
    </row>
    <row r="104" spans="1:27" s="1" customFormat="1" ht="18.5" x14ac:dyDescent="0.45">
      <c r="A104" s="1" t="s">
        <v>3843</v>
      </c>
      <c r="B104" s="1" t="s">
        <v>3844</v>
      </c>
      <c r="C104" s="1" t="s">
        <v>2669</v>
      </c>
      <c r="D104" s="1" t="s">
        <v>53</v>
      </c>
      <c r="E104" s="2">
        <v>2022</v>
      </c>
      <c r="F104" s="1" t="s">
        <v>3845</v>
      </c>
      <c r="G104" s="1" t="s">
        <v>58</v>
      </c>
      <c r="H104" s="1" t="s">
        <v>3846</v>
      </c>
      <c r="I104" s="1">
        <v>35</v>
      </c>
      <c r="J104" s="1">
        <v>1</v>
      </c>
      <c r="K104" s="1">
        <v>0</v>
      </c>
      <c r="L104" s="1">
        <v>0</v>
      </c>
      <c r="M104" s="1" t="s">
        <v>748</v>
      </c>
      <c r="N104" s="1" t="s">
        <v>749</v>
      </c>
      <c r="O104" s="1" t="s">
        <v>750</v>
      </c>
      <c r="P104" s="1" t="s">
        <v>2674</v>
      </c>
      <c r="Q104" s="1" t="s">
        <v>2675</v>
      </c>
      <c r="R104" s="1">
        <v>14</v>
      </c>
      <c r="S104" s="1">
        <v>1</v>
      </c>
      <c r="T104" s="1" t="s">
        <v>3847</v>
      </c>
      <c r="U104" s="1" t="str">
        <f>HYPERLINK("http://dx.doi.org/10.1142/S2661335222500034","http://dx.doi.org/10.1142/S2661335222500034")</f>
        <v>http://dx.doi.org/10.1142/S2661335222500034</v>
      </c>
      <c r="V104" s="1">
        <v>8</v>
      </c>
      <c r="W104" s="1" t="s">
        <v>260</v>
      </c>
      <c r="X104" s="1" t="s">
        <v>124</v>
      </c>
      <c r="Y104" s="1" t="s">
        <v>137</v>
      </c>
      <c r="Z104" s="1" t="s">
        <v>48</v>
      </c>
      <c r="AA104" s="1" t="s">
        <v>125</v>
      </c>
    </row>
    <row r="105" spans="1:27" s="1" customFormat="1" ht="18.5" x14ac:dyDescent="0.45">
      <c r="A105" s="1" t="s">
        <v>3848</v>
      </c>
      <c r="B105" s="1" t="s">
        <v>3849</v>
      </c>
      <c r="C105" s="1" t="s">
        <v>2927</v>
      </c>
      <c r="D105" s="1" t="s">
        <v>53</v>
      </c>
      <c r="E105" s="2">
        <v>2022</v>
      </c>
      <c r="F105" s="1" t="s">
        <v>3850</v>
      </c>
      <c r="G105" s="1" t="s">
        <v>3582</v>
      </c>
      <c r="H105" s="1" t="s">
        <v>1216</v>
      </c>
      <c r="I105" s="1">
        <v>31</v>
      </c>
      <c r="J105" s="1">
        <v>4</v>
      </c>
      <c r="K105" s="1">
        <v>2</v>
      </c>
      <c r="L105" s="1">
        <v>11</v>
      </c>
      <c r="M105" s="1" t="s">
        <v>1168</v>
      </c>
      <c r="N105" s="1" t="s">
        <v>504</v>
      </c>
      <c r="O105" s="1" t="s">
        <v>1169</v>
      </c>
      <c r="P105" s="1" t="s">
        <v>2929</v>
      </c>
      <c r="Q105" s="1" t="s">
        <v>2930</v>
      </c>
      <c r="R105" s="1">
        <v>82</v>
      </c>
      <c r="S105" s="1" t="s">
        <v>48</v>
      </c>
      <c r="T105" s="1" t="s">
        <v>3851</v>
      </c>
      <c r="U105" s="1" t="str">
        <f>HYPERLINK("http://dx.doi.org/10.1016/j.seps.2022.101263","http://dx.doi.org/10.1016/j.seps.2022.101263")</f>
        <v>http://dx.doi.org/10.1016/j.seps.2022.101263</v>
      </c>
      <c r="V105" s="1">
        <v>11</v>
      </c>
      <c r="W105" s="1" t="s">
        <v>2932</v>
      </c>
      <c r="X105" s="1" t="s">
        <v>944</v>
      </c>
      <c r="Y105" s="1" t="s">
        <v>2933</v>
      </c>
      <c r="Z105" s="1">
        <v>35165491</v>
      </c>
      <c r="AA105" s="1" t="s">
        <v>1325</v>
      </c>
    </row>
    <row r="106" spans="1:27" s="1" customFormat="1" ht="18.5" x14ac:dyDescent="0.45">
      <c r="A106" s="1" t="s">
        <v>3852</v>
      </c>
      <c r="B106" s="1" t="s">
        <v>3853</v>
      </c>
      <c r="C106" s="1" t="s">
        <v>3854</v>
      </c>
      <c r="D106" s="1" t="s">
        <v>53</v>
      </c>
      <c r="E106" s="2">
        <v>2022</v>
      </c>
      <c r="F106" s="1" t="s">
        <v>3855</v>
      </c>
      <c r="G106" s="1" t="s">
        <v>58</v>
      </c>
      <c r="H106" s="1" t="s">
        <v>3856</v>
      </c>
      <c r="I106" s="1">
        <v>28</v>
      </c>
      <c r="J106" s="1">
        <v>0</v>
      </c>
      <c r="K106" s="1">
        <v>0</v>
      </c>
      <c r="L106" s="1">
        <v>0</v>
      </c>
      <c r="M106" s="1" t="s">
        <v>3857</v>
      </c>
      <c r="N106" s="1" t="s">
        <v>3858</v>
      </c>
      <c r="O106" s="1" t="s">
        <v>3859</v>
      </c>
      <c r="P106" s="1" t="s">
        <v>3860</v>
      </c>
      <c r="Q106" s="1" t="s">
        <v>48</v>
      </c>
      <c r="R106" s="1">
        <v>17</v>
      </c>
      <c r="S106" s="1">
        <v>2</v>
      </c>
      <c r="T106" s="1" t="s">
        <v>48</v>
      </c>
      <c r="U106" s="1" t="s">
        <v>48</v>
      </c>
      <c r="V106" s="1">
        <v>9</v>
      </c>
      <c r="W106" s="1" t="s">
        <v>1528</v>
      </c>
      <c r="X106" s="1" t="s">
        <v>124</v>
      </c>
      <c r="Y106" s="1" t="s">
        <v>1528</v>
      </c>
      <c r="Z106" s="1" t="s">
        <v>48</v>
      </c>
      <c r="AA106" s="1" t="s">
        <v>48</v>
      </c>
    </row>
    <row r="107" spans="1:27" s="1" customFormat="1" ht="18.5" x14ac:dyDescent="0.45">
      <c r="A107" s="1" t="s">
        <v>3861</v>
      </c>
      <c r="B107" s="1" t="s">
        <v>3862</v>
      </c>
      <c r="C107" s="1" t="s">
        <v>3863</v>
      </c>
      <c r="D107" s="1" t="s">
        <v>53</v>
      </c>
      <c r="E107" s="2">
        <v>2022</v>
      </c>
      <c r="F107" s="1" t="s">
        <v>3864</v>
      </c>
      <c r="G107" s="1" t="s">
        <v>2374</v>
      </c>
      <c r="H107" s="1" t="s">
        <v>3865</v>
      </c>
      <c r="I107" s="1">
        <v>171</v>
      </c>
      <c r="J107" s="1">
        <v>41</v>
      </c>
      <c r="K107" s="1">
        <v>4</v>
      </c>
      <c r="L107" s="1">
        <v>24</v>
      </c>
      <c r="M107" s="1" t="s">
        <v>79</v>
      </c>
      <c r="N107" s="1" t="s">
        <v>80</v>
      </c>
      <c r="O107" s="1" t="s">
        <v>81</v>
      </c>
      <c r="P107" s="1" t="s">
        <v>3866</v>
      </c>
      <c r="Q107" s="1" t="s">
        <v>48</v>
      </c>
      <c r="R107" s="1">
        <v>3</v>
      </c>
      <c r="S107" s="1" t="s">
        <v>48</v>
      </c>
      <c r="T107" s="1" t="s">
        <v>3867</v>
      </c>
      <c r="U107" s="1" t="str">
        <f>HYPERLINK("http://dx.doi.org/10.1016/j.crmicr.2022.100107","http://dx.doi.org/10.1016/j.crmicr.2022.100107")</f>
        <v>http://dx.doi.org/10.1016/j.crmicr.2022.100107</v>
      </c>
      <c r="V107" s="1">
        <v>11</v>
      </c>
      <c r="W107" s="1" t="s">
        <v>824</v>
      </c>
      <c r="X107" s="1" t="s">
        <v>124</v>
      </c>
      <c r="Y107" s="1" t="s">
        <v>824</v>
      </c>
      <c r="Z107" s="1">
        <v>35169758</v>
      </c>
      <c r="AA107" s="1" t="s">
        <v>366</v>
      </c>
    </row>
    <row r="108" spans="1:27" s="1" customFormat="1" ht="18.5" x14ac:dyDescent="0.45">
      <c r="A108" s="1" t="s">
        <v>3914</v>
      </c>
      <c r="B108" s="1" t="s">
        <v>3915</v>
      </c>
      <c r="C108" s="1" t="s">
        <v>3916</v>
      </c>
      <c r="D108" s="1" t="s">
        <v>53</v>
      </c>
      <c r="E108" s="2">
        <v>2022</v>
      </c>
      <c r="F108" s="1" t="s">
        <v>3917</v>
      </c>
      <c r="G108" s="1" t="s">
        <v>3918</v>
      </c>
      <c r="H108" s="1" t="s">
        <v>227</v>
      </c>
      <c r="I108" s="1">
        <v>44</v>
      </c>
      <c r="J108" s="1">
        <v>21</v>
      </c>
      <c r="K108" s="1">
        <v>1</v>
      </c>
      <c r="L108" s="1">
        <v>11</v>
      </c>
      <c r="M108" s="1" t="s">
        <v>252</v>
      </c>
      <c r="N108" s="1" t="s">
        <v>253</v>
      </c>
      <c r="O108" s="1" t="s">
        <v>254</v>
      </c>
      <c r="P108" s="1" t="s">
        <v>3919</v>
      </c>
      <c r="Q108" s="1" t="s">
        <v>3920</v>
      </c>
      <c r="R108" s="1">
        <v>24</v>
      </c>
      <c r="S108" s="1">
        <v>6</v>
      </c>
      <c r="T108" s="1" t="s">
        <v>3921</v>
      </c>
      <c r="U108" s="1" t="str">
        <f>HYPERLINK("http://dx.doi.org/10.1007/s40815-021-01224-5","http://dx.doi.org/10.1007/s40815-021-01224-5")</f>
        <v>http://dx.doi.org/10.1007/s40815-021-01224-5</v>
      </c>
      <c r="V108" s="1">
        <v>18</v>
      </c>
      <c r="W108" s="1" t="s">
        <v>3922</v>
      </c>
      <c r="X108" s="1" t="s">
        <v>67</v>
      </c>
      <c r="Y108" s="1" t="s">
        <v>3923</v>
      </c>
      <c r="Z108" s="1" t="s">
        <v>48</v>
      </c>
      <c r="AA108" s="1" t="s">
        <v>48</v>
      </c>
    </row>
    <row r="109" spans="1:27" s="1" customFormat="1" ht="18.5" x14ac:dyDescent="0.45">
      <c r="A109" s="1" t="s">
        <v>3993</v>
      </c>
      <c r="B109" s="1" t="s">
        <v>3994</v>
      </c>
      <c r="C109" s="1" t="s">
        <v>3995</v>
      </c>
      <c r="D109" s="1" t="s">
        <v>1114</v>
      </c>
      <c r="E109" s="2">
        <v>2022</v>
      </c>
      <c r="F109" s="1" t="s">
        <v>3996</v>
      </c>
      <c r="G109" s="1" t="s">
        <v>3615</v>
      </c>
      <c r="H109" s="1" t="s">
        <v>3616</v>
      </c>
      <c r="I109" s="1">
        <v>115</v>
      </c>
      <c r="J109" s="1">
        <v>4</v>
      </c>
      <c r="K109" s="1">
        <v>0</v>
      </c>
      <c r="L109" s="1">
        <v>24</v>
      </c>
      <c r="M109" s="1" t="s">
        <v>79</v>
      </c>
      <c r="N109" s="1" t="s">
        <v>80</v>
      </c>
      <c r="O109" s="1" t="s">
        <v>81</v>
      </c>
      <c r="P109" s="1" t="s">
        <v>3997</v>
      </c>
      <c r="Q109" s="1" t="s">
        <v>3998</v>
      </c>
      <c r="R109" s="1">
        <v>1865</v>
      </c>
      <c r="S109" s="1">
        <v>7</v>
      </c>
      <c r="T109" s="1" t="s">
        <v>3999</v>
      </c>
      <c r="U109" s="1" t="str">
        <f>HYPERLINK("http://dx.doi.org/10.1016/j.bbagrm.2022.194871","http://dx.doi.org/10.1016/j.bbagrm.2022.194871")</f>
        <v>http://dx.doi.org/10.1016/j.bbagrm.2022.194871</v>
      </c>
      <c r="V109" s="1">
        <v>11</v>
      </c>
      <c r="W109" s="1" t="s">
        <v>2764</v>
      </c>
      <c r="X109" s="1" t="s">
        <v>67</v>
      </c>
      <c r="Y109" s="1" t="s">
        <v>2764</v>
      </c>
      <c r="Z109" s="1">
        <v>36041664</v>
      </c>
      <c r="AA109" s="1" t="s">
        <v>48</v>
      </c>
    </row>
    <row r="110" spans="1:27" s="1" customFormat="1" ht="18.5" x14ac:dyDescent="0.45">
      <c r="A110" s="1" t="s">
        <v>4025</v>
      </c>
      <c r="B110" s="1" t="s">
        <v>4026</v>
      </c>
      <c r="C110" s="1" t="s">
        <v>404</v>
      </c>
      <c r="D110" s="1" t="s">
        <v>53</v>
      </c>
      <c r="E110" s="2">
        <v>2022</v>
      </c>
      <c r="F110" s="1" t="s">
        <v>4027</v>
      </c>
      <c r="G110" s="1" t="s">
        <v>4028</v>
      </c>
      <c r="H110" s="1" t="s">
        <v>4029</v>
      </c>
      <c r="I110" s="1">
        <v>74</v>
      </c>
      <c r="J110" s="1">
        <v>3</v>
      </c>
      <c r="K110" s="1">
        <v>0</v>
      </c>
      <c r="L110" s="1">
        <v>7</v>
      </c>
      <c r="M110" s="1" t="s">
        <v>410</v>
      </c>
      <c r="N110" s="1" t="s">
        <v>411</v>
      </c>
      <c r="O110" s="1" t="s">
        <v>412</v>
      </c>
      <c r="P110" s="1" t="s">
        <v>413</v>
      </c>
      <c r="Q110" s="1" t="s">
        <v>48</v>
      </c>
      <c r="R110" s="1">
        <v>12</v>
      </c>
      <c r="S110" s="1">
        <v>1</v>
      </c>
      <c r="T110" s="1" t="s">
        <v>4030</v>
      </c>
      <c r="U110" s="1" t="str">
        <f>HYPERLINK("http://dx.doi.org/10.1038/s41598-022-26140-y","http://dx.doi.org/10.1038/s41598-022-26140-y")</f>
        <v>http://dx.doi.org/10.1038/s41598-022-26140-y</v>
      </c>
      <c r="V110" s="1">
        <v>12</v>
      </c>
      <c r="W110" s="1" t="s">
        <v>335</v>
      </c>
      <c r="X110" s="1" t="s">
        <v>67</v>
      </c>
      <c r="Y110" s="1" t="s">
        <v>336</v>
      </c>
      <c r="Z110" s="1">
        <v>36572722</v>
      </c>
      <c r="AA110" s="1" t="s">
        <v>337</v>
      </c>
    </row>
    <row r="111" spans="1:27" s="1" customFormat="1" ht="18.5" x14ac:dyDescent="0.45">
      <c r="A111" s="1" t="s">
        <v>4031</v>
      </c>
      <c r="B111" s="1" t="s">
        <v>4032</v>
      </c>
      <c r="C111" s="1" t="s">
        <v>4033</v>
      </c>
      <c r="D111" s="1" t="s">
        <v>53</v>
      </c>
      <c r="E111" s="2">
        <v>2022</v>
      </c>
      <c r="F111" s="1" t="s">
        <v>4034</v>
      </c>
      <c r="G111" s="1" t="s">
        <v>3487</v>
      </c>
      <c r="H111" s="1" t="s">
        <v>4035</v>
      </c>
      <c r="I111" s="1">
        <v>29</v>
      </c>
      <c r="J111" s="1">
        <v>7</v>
      </c>
      <c r="K111" s="1">
        <v>1</v>
      </c>
      <c r="L111" s="1">
        <v>21</v>
      </c>
      <c r="M111" s="1" t="s">
        <v>631</v>
      </c>
      <c r="N111" s="1" t="s">
        <v>632</v>
      </c>
      <c r="O111" s="1" t="s">
        <v>633</v>
      </c>
      <c r="P111" s="1" t="s">
        <v>48</v>
      </c>
      <c r="Q111" s="1" t="s">
        <v>4036</v>
      </c>
      <c r="R111" s="1">
        <v>16</v>
      </c>
      <c r="S111" s="1">
        <v>1</v>
      </c>
      <c r="T111" s="1" t="s">
        <v>4037</v>
      </c>
      <c r="U111" s="1" t="str">
        <f>HYPERLINK("http://dx.doi.org/10.1186/s13065-022-00824-y","http://dx.doi.org/10.1186/s13065-022-00824-y")</f>
        <v>http://dx.doi.org/10.1186/s13065-022-00824-y</v>
      </c>
      <c r="V111" s="1">
        <v>11</v>
      </c>
      <c r="W111" s="1" t="s">
        <v>2292</v>
      </c>
      <c r="X111" s="1" t="s">
        <v>67</v>
      </c>
      <c r="Y111" s="1" t="s">
        <v>2293</v>
      </c>
      <c r="Z111" s="1">
        <v>35562772</v>
      </c>
      <c r="AA111" s="1" t="s">
        <v>366</v>
      </c>
    </row>
    <row r="112" spans="1:27" s="1" customFormat="1" ht="18.5" x14ac:dyDescent="0.45">
      <c r="A112" s="1" t="s">
        <v>4194</v>
      </c>
      <c r="B112" s="1" t="s">
        <v>4195</v>
      </c>
      <c r="C112" s="1" t="s">
        <v>4196</v>
      </c>
      <c r="D112" s="1" t="s">
        <v>53</v>
      </c>
      <c r="E112" s="2">
        <v>2022</v>
      </c>
      <c r="F112" s="1" t="s">
        <v>4197</v>
      </c>
      <c r="G112" s="1" t="s">
        <v>58</v>
      </c>
      <c r="H112" s="1" t="s">
        <v>4198</v>
      </c>
      <c r="I112" s="1">
        <v>58</v>
      </c>
      <c r="J112" s="1">
        <v>2</v>
      </c>
      <c r="K112" s="1">
        <v>1</v>
      </c>
      <c r="L112" s="1">
        <v>9</v>
      </c>
      <c r="M112" s="1" t="s">
        <v>503</v>
      </c>
      <c r="N112" s="1" t="s">
        <v>504</v>
      </c>
      <c r="O112" s="1" t="s">
        <v>505</v>
      </c>
      <c r="P112" s="1" t="s">
        <v>4199</v>
      </c>
      <c r="Q112" s="1" t="s">
        <v>4200</v>
      </c>
      <c r="R112" s="1">
        <v>17</v>
      </c>
      <c r="S112" s="1">
        <v>3</v>
      </c>
      <c r="T112" s="1" t="s">
        <v>4201</v>
      </c>
      <c r="U112" s="1" t="str">
        <f>HYPERLINK("http://dx.doi.org/10.1007/s11468-022-01603-0","http://dx.doi.org/10.1007/s11468-022-01603-0")</f>
        <v>http://dx.doi.org/10.1007/s11468-022-01603-0</v>
      </c>
      <c r="V112" s="1">
        <v>18</v>
      </c>
      <c r="W112" s="1" t="s">
        <v>4202</v>
      </c>
      <c r="X112" s="1" t="s">
        <v>67</v>
      </c>
      <c r="Y112" s="1" t="s">
        <v>3264</v>
      </c>
      <c r="Z112" s="1" t="s">
        <v>48</v>
      </c>
      <c r="AA112" s="1" t="s">
        <v>48</v>
      </c>
    </row>
    <row r="113" spans="1:27" s="1" customFormat="1" ht="18.5" x14ac:dyDescent="0.45">
      <c r="A113" s="1" t="s">
        <v>3725</v>
      </c>
      <c r="B113" s="1" t="s">
        <v>4208</v>
      </c>
      <c r="C113" s="1" t="s">
        <v>3727</v>
      </c>
      <c r="D113" s="1" t="s">
        <v>53</v>
      </c>
      <c r="E113" s="2">
        <v>2022</v>
      </c>
      <c r="F113" s="1" t="s">
        <v>4209</v>
      </c>
      <c r="G113" s="1" t="s">
        <v>3729</v>
      </c>
      <c r="H113" s="1" t="s">
        <v>4210</v>
      </c>
      <c r="I113" s="1">
        <v>20</v>
      </c>
      <c r="J113" s="1">
        <v>4</v>
      </c>
      <c r="K113" s="1">
        <v>0</v>
      </c>
      <c r="L113" s="1">
        <v>0</v>
      </c>
      <c r="M113" s="1" t="s">
        <v>3731</v>
      </c>
      <c r="N113" s="1" t="s">
        <v>3732</v>
      </c>
      <c r="O113" s="1" t="s">
        <v>3733</v>
      </c>
      <c r="P113" s="1" t="s">
        <v>3734</v>
      </c>
      <c r="Q113" s="1" t="s">
        <v>3735</v>
      </c>
      <c r="R113" s="1">
        <v>10</v>
      </c>
      <c r="S113" s="1">
        <v>3</v>
      </c>
      <c r="T113" s="1" t="s">
        <v>4211</v>
      </c>
      <c r="U113" s="1" t="str">
        <f>HYPERLINK("http://dx.doi.org/10.17017/j.fish.355","http://dx.doi.org/10.17017/j.fish.355")</f>
        <v>http://dx.doi.org/10.17017/j.fish.355</v>
      </c>
      <c r="V113" s="1">
        <v>5</v>
      </c>
      <c r="W113" s="1" t="s">
        <v>2011</v>
      </c>
      <c r="X113" s="1" t="s">
        <v>124</v>
      </c>
      <c r="Y113" s="1" t="s">
        <v>2011</v>
      </c>
      <c r="Z113" s="1" t="s">
        <v>48</v>
      </c>
      <c r="AA113" s="1" t="s">
        <v>125</v>
      </c>
    </row>
    <row r="114" spans="1:27" s="1" customFormat="1" ht="18.5" x14ac:dyDescent="0.45">
      <c r="A114" s="1" t="s">
        <v>4221</v>
      </c>
      <c r="B114" s="1" t="s">
        <v>4222</v>
      </c>
      <c r="C114" s="1" t="s">
        <v>4223</v>
      </c>
      <c r="D114" s="1" t="s">
        <v>53</v>
      </c>
      <c r="E114" s="2">
        <v>2022</v>
      </c>
      <c r="F114" s="1" t="s">
        <v>4224</v>
      </c>
      <c r="G114" s="1" t="s">
        <v>4225</v>
      </c>
      <c r="H114" s="1" t="s">
        <v>4226</v>
      </c>
      <c r="I114" s="1">
        <v>112</v>
      </c>
      <c r="J114" s="1">
        <v>12</v>
      </c>
      <c r="K114" s="1">
        <v>1</v>
      </c>
      <c r="L114" s="1">
        <v>4</v>
      </c>
      <c r="M114" s="1" t="s">
        <v>748</v>
      </c>
      <c r="N114" s="1" t="s">
        <v>749</v>
      </c>
      <c r="O114" s="1" t="s">
        <v>750</v>
      </c>
      <c r="P114" s="1" t="s">
        <v>4227</v>
      </c>
      <c r="Q114" s="1" t="s">
        <v>4228</v>
      </c>
      <c r="R114" s="1">
        <v>19</v>
      </c>
      <c r="S114" s="1">
        <v>14</v>
      </c>
      <c r="T114" s="1" t="s">
        <v>4231</v>
      </c>
      <c r="U114" s="1" t="str">
        <f>HYPERLINK("http://dx.doi.org/10.1142/S0219887822502310","http://dx.doi.org/10.1142/S0219887822502310")</f>
        <v>http://dx.doi.org/10.1142/S0219887822502310</v>
      </c>
      <c r="V114" s="1">
        <v>19</v>
      </c>
      <c r="W114" s="1" t="s">
        <v>4232</v>
      </c>
      <c r="X114" s="1" t="s">
        <v>67</v>
      </c>
      <c r="Y114" s="1" t="s">
        <v>670</v>
      </c>
      <c r="Z114" s="1" t="s">
        <v>48</v>
      </c>
      <c r="AA114" s="1" t="s">
        <v>48</v>
      </c>
    </row>
    <row r="115" spans="1:27" s="1" customFormat="1" ht="18.5" x14ac:dyDescent="0.45">
      <c r="A115" s="1" t="s">
        <v>3741</v>
      </c>
      <c r="B115" s="1" t="s">
        <v>4233</v>
      </c>
      <c r="C115" s="1" t="s">
        <v>3605</v>
      </c>
      <c r="D115" s="1" t="s">
        <v>53</v>
      </c>
      <c r="E115" s="2">
        <v>2022</v>
      </c>
      <c r="F115" s="1" t="s">
        <v>4234</v>
      </c>
      <c r="G115" s="1" t="s">
        <v>3744</v>
      </c>
      <c r="H115" s="1" t="s">
        <v>3608</v>
      </c>
      <c r="I115" s="1">
        <v>60</v>
      </c>
      <c r="J115" s="1">
        <v>18</v>
      </c>
      <c r="K115" s="1">
        <v>1</v>
      </c>
      <c r="L115" s="1">
        <v>15</v>
      </c>
      <c r="M115" s="1" t="s">
        <v>79</v>
      </c>
      <c r="N115" s="1" t="s">
        <v>80</v>
      </c>
      <c r="O115" s="1" t="s">
        <v>81</v>
      </c>
      <c r="P115" s="1" t="s">
        <v>3609</v>
      </c>
      <c r="Q115" s="1" t="s">
        <v>3610</v>
      </c>
      <c r="R115" s="1">
        <v>34</v>
      </c>
      <c r="S115" s="1">
        <v>7</v>
      </c>
      <c r="T115" s="1" t="s">
        <v>4235</v>
      </c>
      <c r="U115" s="1" t="str">
        <f>HYPERLINK("http://dx.doi.org/10.1016/j.jksuci.2020.09.014","http://dx.doi.org/10.1016/j.jksuci.2020.09.014")</f>
        <v>http://dx.doi.org/10.1016/j.jksuci.2020.09.014</v>
      </c>
      <c r="V115" s="1">
        <v>19</v>
      </c>
      <c r="W115" s="1" t="s">
        <v>291</v>
      </c>
      <c r="X115" s="1" t="s">
        <v>67</v>
      </c>
      <c r="Y115" s="1" t="s">
        <v>292</v>
      </c>
      <c r="Z115" s="1" t="s">
        <v>48</v>
      </c>
      <c r="AA115" s="1" t="s">
        <v>125</v>
      </c>
    </row>
    <row r="116" spans="1:27" s="1" customFormat="1" ht="18.5" x14ac:dyDescent="0.45">
      <c r="A116" s="1" t="s">
        <v>4252</v>
      </c>
      <c r="B116" s="1" t="s">
        <v>4253</v>
      </c>
      <c r="C116" s="1" t="s">
        <v>4254</v>
      </c>
      <c r="D116" s="1" t="s">
        <v>53</v>
      </c>
      <c r="E116" s="2">
        <v>2022</v>
      </c>
      <c r="F116" s="1" t="s">
        <v>4255</v>
      </c>
      <c r="G116" s="1" t="s">
        <v>4256</v>
      </c>
      <c r="H116" s="1" t="s">
        <v>4257</v>
      </c>
      <c r="I116" s="1">
        <v>40</v>
      </c>
      <c r="J116" s="1">
        <v>0</v>
      </c>
      <c r="K116" s="1">
        <v>0</v>
      </c>
      <c r="L116" s="1">
        <v>30</v>
      </c>
      <c r="M116" s="1" t="s">
        <v>4258</v>
      </c>
      <c r="N116" s="1" t="s">
        <v>4259</v>
      </c>
      <c r="O116" s="1" t="s">
        <v>4260</v>
      </c>
      <c r="P116" s="1" t="s">
        <v>4261</v>
      </c>
      <c r="Q116" s="1" t="s">
        <v>48</v>
      </c>
      <c r="R116" s="1">
        <v>31</v>
      </c>
      <c r="S116" s="1">
        <v>1</v>
      </c>
      <c r="T116" s="1" t="s">
        <v>4262</v>
      </c>
      <c r="U116" s="1" t="str">
        <f>HYPERLINK("http://dx.doi.org/10.13164/re.2022.0023","http://dx.doi.org/10.13164/re.2022.0023")</f>
        <v>http://dx.doi.org/10.13164/re.2022.0023</v>
      </c>
      <c r="V116" s="1">
        <v>9</v>
      </c>
      <c r="W116" s="1" t="s">
        <v>3913</v>
      </c>
      <c r="X116" s="1" t="s">
        <v>67</v>
      </c>
      <c r="Y116" s="1" t="s">
        <v>1733</v>
      </c>
      <c r="Z116" s="1" t="s">
        <v>48</v>
      </c>
      <c r="AA116" s="1" t="s">
        <v>366</v>
      </c>
    </row>
    <row r="117" spans="1:27" s="1" customFormat="1" ht="18.5" x14ac:dyDescent="0.45">
      <c r="A117" s="1" t="s">
        <v>4286</v>
      </c>
      <c r="B117" s="1" t="s">
        <v>4287</v>
      </c>
      <c r="C117" s="1" t="s">
        <v>4288</v>
      </c>
      <c r="D117" s="1" t="s">
        <v>53</v>
      </c>
      <c r="E117" s="2">
        <v>2022</v>
      </c>
      <c r="F117" s="1" t="s">
        <v>4289</v>
      </c>
      <c r="G117" s="1" t="s">
        <v>58</v>
      </c>
      <c r="H117" s="1" t="s">
        <v>1045</v>
      </c>
      <c r="I117" s="1">
        <v>35</v>
      </c>
      <c r="J117" s="1">
        <v>6</v>
      </c>
      <c r="K117" s="1">
        <v>0</v>
      </c>
      <c r="L117" s="1">
        <v>4</v>
      </c>
      <c r="M117" s="1" t="s">
        <v>132</v>
      </c>
      <c r="N117" s="1" t="s">
        <v>133</v>
      </c>
      <c r="O117" s="1" t="s">
        <v>134</v>
      </c>
      <c r="P117" s="1" t="s">
        <v>48</v>
      </c>
      <c r="Q117" s="1" t="s">
        <v>4290</v>
      </c>
      <c r="R117" s="1">
        <v>24</v>
      </c>
      <c r="S117" s="1">
        <v>5</v>
      </c>
      <c r="T117" s="1" t="s">
        <v>4293</v>
      </c>
      <c r="U117" s="1" t="str">
        <f>HYPERLINK("http://dx.doi.org/10.3390/e24050658","http://dx.doi.org/10.3390/e24050658")</f>
        <v>http://dx.doi.org/10.3390/e24050658</v>
      </c>
      <c r="V117" s="1">
        <v>17</v>
      </c>
      <c r="W117" s="1" t="s">
        <v>669</v>
      </c>
      <c r="X117" s="1" t="s">
        <v>67</v>
      </c>
      <c r="Y117" s="1" t="s">
        <v>670</v>
      </c>
      <c r="Z117" s="1">
        <v>35626543</v>
      </c>
      <c r="AA117" s="1" t="s">
        <v>366</v>
      </c>
    </row>
    <row r="118" spans="1:27" s="1" customFormat="1" ht="18.5" x14ac:dyDescent="0.45">
      <c r="A118" s="1" t="s">
        <v>4294</v>
      </c>
      <c r="B118" s="1" t="s">
        <v>4295</v>
      </c>
      <c r="C118" s="1" t="s">
        <v>4296</v>
      </c>
      <c r="D118" s="1" t="s">
        <v>53</v>
      </c>
      <c r="E118" s="2">
        <v>2022</v>
      </c>
      <c r="F118" s="1" t="s">
        <v>4297</v>
      </c>
      <c r="G118" s="1" t="s">
        <v>58</v>
      </c>
      <c r="H118" s="1" t="s">
        <v>4298</v>
      </c>
      <c r="I118" s="1">
        <v>30</v>
      </c>
      <c r="J118" s="1">
        <v>1</v>
      </c>
      <c r="K118" s="1">
        <v>0</v>
      </c>
      <c r="L118" s="1">
        <v>6</v>
      </c>
      <c r="M118" s="1" t="s">
        <v>4299</v>
      </c>
      <c r="N118" s="1" t="s">
        <v>632</v>
      </c>
      <c r="O118" s="1" t="s">
        <v>4300</v>
      </c>
      <c r="P118" s="1" t="s">
        <v>4301</v>
      </c>
      <c r="Q118" s="1" t="s">
        <v>4302</v>
      </c>
      <c r="R118" s="1">
        <v>34</v>
      </c>
      <c r="S118" s="1">
        <v>11</v>
      </c>
      <c r="T118" s="1" t="s">
        <v>4305</v>
      </c>
      <c r="U118" s="1" t="str">
        <f>HYPERLINK("http://dx.doi.org/10.1007/s00521-022-06944-9","http://dx.doi.org/10.1007/s00521-022-06944-9")</f>
        <v>http://dx.doi.org/10.1007/s00521-022-06944-9</v>
      </c>
      <c r="V118" s="1">
        <v>16</v>
      </c>
      <c r="W118" s="1" t="s">
        <v>549</v>
      </c>
      <c r="X118" s="1" t="s">
        <v>67</v>
      </c>
      <c r="Y118" s="1" t="s">
        <v>292</v>
      </c>
      <c r="Z118" s="1" t="s">
        <v>48</v>
      </c>
      <c r="AA118" s="1" t="s">
        <v>48</v>
      </c>
    </row>
    <row r="119" spans="1:27" s="1" customFormat="1" ht="18.5" x14ac:dyDescent="0.45">
      <c r="A119" s="1" t="s">
        <v>4472</v>
      </c>
      <c r="B119" s="1" t="s">
        <v>4473</v>
      </c>
      <c r="C119" s="1" t="s">
        <v>4474</v>
      </c>
      <c r="D119" s="1" t="s">
        <v>53</v>
      </c>
      <c r="E119" s="2">
        <v>2022</v>
      </c>
      <c r="F119" s="1" t="s">
        <v>4475</v>
      </c>
      <c r="G119" s="1" t="s">
        <v>3744</v>
      </c>
      <c r="H119" s="1" t="s">
        <v>4476</v>
      </c>
      <c r="I119" s="1">
        <v>45</v>
      </c>
      <c r="J119" s="1">
        <v>4</v>
      </c>
      <c r="K119" s="1">
        <v>0</v>
      </c>
      <c r="L119" s="1">
        <v>11</v>
      </c>
      <c r="M119" s="1" t="s">
        <v>79</v>
      </c>
      <c r="N119" s="1" t="s">
        <v>80</v>
      </c>
      <c r="O119" s="1" t="s">
        <v>81</v>
      </c>
      <c r="P119" s="1" t="s">
        <v>4477</v>
      </c>
      <c r="Q119" s="1" t="s">
        <v>4478</v>
      </c>
      <c r="R119" s="1">
        <v>74</v>
      </c>
      <c r="S119" s="1" t="s">
        <v>48</v>
      </c>
      <c r="T119" s="1" t="s">
        <v>4479</v>
      </c>
      <c r="U119" s="1" t="str">
        <f>HYPERLINK("http://dx.doi.org/10.1016/j.displa.2022.102268","http://dx.doi.org/10.1016/j.displa.2022.102268")</f>
        <v>http://dx.doi.org/10.1016/j.displa.2022.102268</v>
      </c>
      <c r="V119" s="1">
        <v>16</v>
      </c>
      <c r="W119" s="1" t="s">
        <v>4480</v>
      </c>
      <c r="X119" s="1" t="s">
        <v>67</v>
      </c>
      <c r="Y119" s="1" t="s">
        <v>4481</v>
      </c>
      <c r="Z119" s="1" t="s">
        <v>48</v>
      </c>
      <c r="AA119" s="1" t="s">
        <v>48</v>
      </c>
    </row>
    <row r="120" spans="1:27" s="1" customFormat="1" ht="18.5" x14ac:dyDescent="0.45">
      <c r="A120" s="1" t="s">
        <v>4504</v>
      </c>
      <c r="B120" s="1" t="s">
        <v>4505</v>
      </c>
      <c r="C120" s="1" t="s">
        <v>4506</v>
      </c>
      <c r="D120" s="1" t="s">
        <v>53</v>
      </c>
      <c r="E120" s="2">
        <v>2022</v>
      </c>
      <c r="F120" s="1" t="s">
        <v>4507</v>
      </c>
      <c r="G120" s="1" t="s">
        <v>4508</v>
      </c>
      <c r="H120" s="1" t="s">
        <v>2126</v>
      </c>
      <c r="I120" s="1">
        <v>205</v>
      </c>
      <c r="J120" s="1">
        <v>15</v>
      </c>
      <c r="K120" s="1">
        <v>6</v>
      </c>
      <c r="L120" s="1">
        <v>41</v>
      </c>
      <c r="M120" s="1" t="s">
        <v>79</v>
      </c>
      <c r="N120" s="1" t="s">
        <v>80</v>
      </c>
      <c r="O120" s="1" t="s">
        <v>81</v>
      </c>
      <c r="P120" s="1" t="s">
        <v>48</v>
      </c>
      <c r="Q120" s="1" t="s">
        <v>4509</v>
      </c>
      <c r="R120" s="1">
        <v>45</v>
      </c>
      <c r="S120" s="1" t="s">
        <v>48</v>
      </c>
      <c r="T120" s="1" t="s">
        <v>4510</v>
      </c>
      <c r="U120" s="1" t="str">
        <f>HYPERLINK("http://dx.doi.org/10.1016/j.bcab.2022.102509","http://dx.doi.org/10.1016/j.bcab.2022.102509")</f>
        <v>http://dx.doi.org/10.1016/j.bcab.2022.102509</v>
      </c>
      <c r="V120" s="1">
        <v>20</v>
      </c>
      <c r="W120" s="1" t="s">
        <v>1528</v>
      </c>
      <c r="X120" s="1" t="s">
        <v>124</v>
      </c>
      <c r="Y120" s="1" t="s">
        <v>1528</v>
      </c>
      <c r="Z120" s="1" t="s">
        <v>48</v>
      </c>
      <c r="AA120" s="1" t="s">
        <v>48</v>
      </c>
    </row>
    <row r="121" spans="1:27" s="1" customFormat="1" ht="18.5" x14ac:dyDescent="0.45">
      <c r="A121" s="1" t="s">
        <v>4511</v>
      </c>
      <c r="B121" s="1" t="s">
        <v>4512</v>
      </c>
      <c r="C121" s="1" t="s">
        <v>820</v>
      </c>
      <c r="D121" s="1" t="s">
        <v>53</v>
      </c>
      <c r="E121" s="2">
        <v>2022</v>
      </c>
      <c r="F121" s="1" t="s">
        <v>4513</v>
      </c>
      <c r="G121" s="1" t="s">
        <v>3615</v>
      </c>
      <c r="H121" s="1" t="s">
        <v>4514</v>
      </c>
      <c r="I121" s="1">
        <v>73</v>
      </c>
      <c r="J121" s="1">
        <v>6</v>
      </c>
      <c r="K121" s="1">
        <v>1</v>
      </c>
      <c r="L121" s="1">
        <v>21</v>
      </c>
      <c r="M121" s="1" t="s">
        <v>421</v>
      </c>
      <c r="N121" s="1" t="s">
        <v>422</v>
      </c>
      <c r="O121" s="1" t="s">
        <v>423</v>
      </c>
      <c r="P121" s="1" t="s">
        <v>48</v>
      </c>
      <c r="Q121" s="1" t="s">
        <v>822</v>
      </c>
      <c r="R121" s="1">
        <v>13</v>
      </c>
      <c r="S121" s="1" t="s">
        <v>48</v>
      </c>
      <c r="T121" s="1" t="s">
        <v>4515</v>
      </c>
      <c r="U121" s="1" t="str">
        <f>HYPERLINK("http://dx.doi.org/10.3389/fmicb.2022.914037","http://dx.doi.org/10.3389/fmicb.2022.914037")</f>
        <v>http://dx.doi.org/10.3389/fmicb.2022.914037</v>
      </c>
      <c r="V121" s="1">
        <v>15</v>
      </c>
      <c r="W121" s="1" t="s">
        <v>824</v>
      </c>
      <c r="X121" s="1" t="s">
        <v>67</v>
      </c>
      <c r="Y121" s="1" t="s">
        <v>824</v>
      </c>
      <c r="Z121" s="1">
        <v>36110304</v>
      </c>
      <c r="AA121" s="1" t="s">
        <v>366</v>
      </c>
    </row>
    <row r="122" spans="1:27" s="1" customFormat="1" ht="18.5" x14ac:dyDescent="0.45">
      <c r="A122" s="1" t="s">
        <v>3111</v>
      </c>
      <c r="B122" s="1" t="s">
        <v>4552</v>
      </c>
      <c r="C122" s="1" t="s">
        <v>4553</v>
      </c>
      <c r="D122" s="1" t="s">
        <v>53</v>
      </c>
      <c r="E122" s="2">
        <v>2022</v>
      </c>
      <c r="F122" s="1" t="s">
        <v>4554</v>
      </c>
      <c r="G122" s="1" t="s">
        <v>4555</v>
      </c>
      <c r="H122" s="1" t="s">
        <v>4556</v>
      </c>
      <c r="I122" s="1">
        <v>33</v>
      </c>
      <c r="J122" s="1">
        <v>8</v>
      </c>
      <c r="K122" s="1">
        <v>0</v>
      </c>
      <c r="L122" s="1">
        <v>1</v>
      </c>
      <c r="M122" s="1" t="s">
        <v>2283</v>
      </c>
      <c r="N122" s="1" t="s">
        <v>632</v>
      </c>
      <c r="O122" s="1" t="s">
        <v>2284</v>
      </c>
      <c r="P122" s="1" t="s">
        <v>4557</v>
      </c>
      <c r="Q122" s="1" t="s">
        <v>4558</v>
      </c>
      <c r="R122" s="1">
        <v>2022</v>
      </c>
      <c r="S122" s="1" t="s">
        <v>48</v>
      </c>
      <c r="T122" s="1" t="s">
        <v>4561</v>
      </c>
      <c r="U122" s="1" t="str">
        <f>HYPERLINK("http://dx.doi.org/10.1155/2022/4346234","http://dx.doi.org/10.1155/2022/4346234")</f>
        <v>http://dx.doi.org/10.1155/2022/4346234</v>
      </c>
      <c r="V122" s="1">
        <v>13</v>
      </c>
      <c r="W122" s="1" t="s">
        <v>137</v>
      </c>
      <c r="X122" s="1" t="s">
        <v>67</v>
      </c>
      <c r="Y122" s="1" t="s">
        <v>137</v>
      </c>
      <c r="Z122" s="1" t="s">
        <v>48</v>
      </c>
      <c r="AA122" s="1" t="s">
        <v>125</v>
      </c>
    </row>
    <row r="123" spans="1:27" s="1" customFormat="1" ht="18.5" x14ac:dyDescent="0.45">
      <c r="A123" s="1" t="s">
        <v>4614</v>
      </c>
      <c r="B123" s="1" t="s">
        <v>4615</v>
      </c>
      <c r="C123" s="1" t="s">
        <v>4616</v>
      </c>
      <c r="D123" s="1" t="s">
        <v>53</v>
      </c>
      <c r="E123" s="2">
        <v>2022</v>
      </c>
      <c r="F123" s="1" t="s">
        <v>4617</v>
      </c>
      <c r="G123" s="1" t="s">
        <v>4256</v>
      </c>
      <c r="H123" s="1" t="s">
        <v>4257</v>
      </c>
      <c r="I123" s="1">
        <v>20</v>
      </c>
      <c r="J123" s="1">
        <v>3</v>
      </c>
      <c r="K123" s="1">
        <v>0</v>
      </c>
      <c r="L123" s="1">
        <v>0</v>
      </c>
      <c r="M123" s="1" t="s">
        <v>4618</v>
      </c>
      <c r="N123" s="1" t="s">
        <v>2401</v>
      </c>
      <c r="O123" s="1" t="s">
        <v>4619</v>
      </c>
      <c r="P123" s="1" t="s">
        <v>4620</v>
      </c>
      <c r="Q123" s="1" t="s">
        <v>4621</v>
      </c>
      <c r="R123" s="1">
        <v>22</v>
      </c>
      <c r="S123" s="1">
        <v>3</v>
      </c>
      <c r="T123" s="1" t="s">
        <v>4622</v>
      </c>
      <c r="U123" s="1" t="str">
        <f>HYPERLINK("http://dx.doi.org/10.26866/jees.2022.3.r.85","http://dx.doi.org/10.26866/jees.2022.3.r.85")</f>
        <v>http://dx.doi.org/10.26866/jees.2022.3.r.85</v>
      </c>
      <c r="V123" s="1">
        <v>9</v>
      </c>
      <c r="W123" s="1" t="s">
        <v>3913</v>
      </c>
      <c r="X123" s="1" t="s">
        <v>67</v>
      </c>
      <c r="Y123" s="1" t="s">
        <v>1733</v>
      </c>
      <c r="Z123" s="1" t="s">
        <v>48</v>
      </c>
      <c r="AA123" s="1" t="s">
        <v>125</v>
      </c>
    </row>
    <row r="124" spans="1:27" s="1" customFormat="1" ht="18.5" x14ac:dyDescent="0.45">
      <c r="A124" s="1" t="s">
        <v>4623</v>
      </c>
      <c r="B124" s="1" t="s">
        <v>4624</v>
      </c>
      <c r="C124" s="1" t="s">
        <v>4625</v>
      </c>
      <c r="D124" s="1" t="s">
        <v>53</v>
      </c>
      <c r="E124" s="2">
        <v>2022</v>
      </c>
      <c r="F124" s="1" t="s">
        <v>4626</v>
      </c>
      <c r="G124" s="1" t="s">
        <v>3499</v>
      </c>
      <c r="H124" s="1" t="s">
        <v>3721</v>
      </c>
      <c r="I124" s="1">
        <v>69</v>
      </c>
      <c r="J124" s="1">
        <v>6</v>
      </c>
      <c r="K124" s="1">
        <v>0</v>
      </c>
      <c r="L124" s="1">
        <v>3</v>
      </c>
      <c r="M124" s="1" t="s">
        <v>252</v>
      </c>
      <c r="N124" s="1" t="s">
        <v>253</v>
      </c>
      <c r="O124" s="1" t="s">
        <v>254</v>
      </c>
      <c r="P124" s="1" t="s">
        <v>4627</v>
      </c>
      <c r="Q124" s="1" t="s">
        <v>4628</v>
      </c>
      <c r="R124" s="1">
        <v>44</v>
      </c>
      <c r="S124" s="1">
        <v>3</v>
      </c>
      <c r="T124" s="1" t="s">
        <v>4629</v>
      </c>
      <c r="U124" s="1" t="str">
        <f>HYPERLINK("http://dx.doi.org/10.1007/s40430-022-03432-y","http://dx.doi.org/10.1007/s40430-022-03432-y")</f>
        <v>http://dx.doi.org/10.1007/s40430-022-03432-y</v>
      </c>
      <c r="V124" s="1">
        <v>19</v>
      </c>
      <c r="W124" s="1" t="s">
        <v>4630</v>
      </c>
      <c r="X124" s="1" t="s">
        <v>67</v>
      </c>
      <c r="Y124" s="1" t="s">
        <v>1733</v>
      </c>
      <c r="Z124" s="1" t="s">
        <v>48</v>
      </c>
      <c r="AA124" s="1" t="s">
        <v>48</v>
      </c>
    </row>
    <row r="125" spans="1:27" s="1" customFormat="1" ht="18.5" x14ac:dyDescent="0.45">
      <c r="A125" s="1" t="s">
        <v>3760</v>
      </c>
      <c r="B125" s="1" t="s">
        <v>4652</v>
      </c>
      <c r="C125" s="1" t="s">
        <v>538</v>
      </c>
      <c r="D125" s="1" t="s">
        <v>53</v>
      </c>
      <c r="E125" s="2">
        <v>2022</v>
      </c>
      <c r="F125" s="1" t="s">
        <v>4653</v>
      </c>
      <c r="G125" s="1" t="s">
        <v>3763</v>
      </c>
      <c r="H125" s="1" t="s">
        <v>2963</v>
      </c>
      <c r="I125" s="1">
        <v>72</v>
      </c>
      <c r="J125" s="1">
        <v>20</v>
      </c>
      <c r="K125" s="1">
        <v>2</v>
      </c>
      <c r="L125" s="1">
        <v>72</v>
      </c>
      <c r="M125" s="1" t="s">
        <v>503</v>
      </c>
      <c r="N125" s="1" t="s">
        <v>542</v>
      </c>
      <c r="O125" s="1" t="s">
        <v>543</v>
      </c>
      <c r="P125" s="1" t="s">
        <v>544</v>
      </c>
      <c r="Q125" s="1" t="s">
        <v>545</v>
      </c>
      <c r="R125" s="1">
        <v>55</v>
      </c>
      <c r="S125" s="1">
        <v>7</v>
      </c>
      <c r="T125" s="1" t="s">
        <v>4654</v>
      </c>
      <c r="U125" s="1" t="str">
        <f>HYPERLINK("http://dx.doi.org/10.1007/s10462-021-10133-w","http://dx.doi.org/10.1007/s10462-021-10133-w")</f>
        <v>http://dx.doi.org/10.1007/s10462-021-10133-w</v>
      </c>
      <c r="V125" s="1">
        <v>26</v>
      </c>
      <c r="W125" s="1" t="s">
        <v>549</v>
      </c>
      <c r="X125" s="1" t="s">
        <v>67</v>
      </c>
      <c r="Y125" s="1" t="s">
        <v>292</v>
      </c>
      <c r="Z125" s="1" t="s">
        <v>48</v>
      </c>
      <c r="AA125" s="1" t="s">
        <v>48</v>
      </c>
    </row>
    <row r="126" spans="1:27" s="1" customFormat="1" ht="18.5" x14ac:dyDescent="0.45">
      <c r="A126" s="1" t="s">
        <v>4655</v>
      </c>
      <c r="B126" s="1" t="s">
        <v>4656</v>
      </c>
      <c r="C126" s="1" t="s">
        <v>4657</v>
      </c>
      <c r="D126" s="1" t="s">
        <v>53</v>
      </c>
      <c r="E126" s="2">
        <v>2022</v>
      </c>
      <c r="F126" s="1" t="s">
        <v>4658</v>
      </c>
      <c r="G126" s="1" t="s">
        <v>115</v>
      </c>
      <c r="H126" s="1" t="s">
        <v>4659</v>
      </c>
      <c r="I126" s="1">
        <v>58</v>
      </c>
      <c r="J126" s="1">
        <v>0</v>
      </c>
      <c r="K126" s="1">
        <v>2</v>
      </c>
      <c r="L126" s="1">
        <v>9</v>
      </c>
      <c r="M126" s="1" t="s">
        <v>4660</v>
      </c>
      <c r="N126" s="1" t="s">
        <v>4661</v>
      </c>
      <c r="O126" s="1" t="s">
        <v>4662</v>
      </c>
      <c r="P126" s="1" t="s">
        <v>4663</v>
      </c>
      <c r="Q126" s="1" t="s">
        <v>48</v>
      </c>
      <c r="R126" s="1">
        <v>12</v>
      </c>
      <c r="S126" s="1">
        <v>1</v>
      </c>
      <c r="T126" s="1" t="s">
        <v>4664</v>
      </c>
      <c r="U126" s="1" t="str">
        <f>HYPERLINK("http://dx.doi.org/10.22376/ijpbs/lpr.2022.12.1.L138-147","http://dx.doi.org/10.22376/ijpbs/lpr.2022.12.1.L138-147")</f>
        <v>http://dx.doi.org/10.22376/ijpbs/lpr.2022.12.1.L138-147</v>
      </c>
      <c r="V126" s="1">
        <v>10</v>
      </c>
      <c r="W126" s="1" t="s">
        <v>4665</v>
      </c>
      <c r="X126" s="1" t="s">
        <v>124</v>
      </c>
      <c r="Y126" s="1" t="s">
        <v>1324</v>
      </c>
      <c r="Z126" s="1" t="s">
        <v>48</v>
      </c>
      <c r="AA126" s="1" t="s">
        <v>1696</v>
      </c>
    </row>
    <row r="127" spans="1:27" s="1" customFormat="1" ht="18.5" x14ac:dyDescent="0.45">
      <c r="A127" s="1" t="s">
        <v>4728</v>
      </c>
      <c r="B127" s="1" t="s">
        <v>4729</v>
      </c>
      <c r="C127" s="1" t="s">
        <v>4730</v>
      </c>
      <c r="D127" s="1" t="s">
        <v>53</v>
      </c>
      <c r="E127" s="2">
        <v>2022</v>
      </c>
      <c r="F127" s="1" t="s">
        <v>4731</v>
      </c>
      <c r="G127" s="1" t="s">
        <v>4732</v>
      </c>
      <c r="H127" s="1" t="s">
        <v>4733</v>
      </c>
      <c r="I127" s="1">
        <v>26</v>
      </c>
      <c r="J127" s="1">
        <v>0</v>
      </c>
      <c r="K127" s="1">
        <v>1</v>
      </c>
      <c r="L127" s="1">
        <v>4</v>
      </c>
      <c r="M127" s="1" t="s">
        <v>198</v>
      </c>
      <c r="N127" s="1" t="s">
        <v>146</v>
      </c>
      <c r="O127" s="1" t="s">
        <v>199</v>
      </c>
      <c r="P127" s="1" t="s">
        <v>4734</v>
      </c>
      <c r="Q127" s="1" t="s">
        <v>48</v>
      </c>
      <c r="R127" s="1">
        <v>8</v>
      </c>
      <c r="S127" s="1">
        <v>1</v>
      </c>
      <c r="T127" s="1" t="s">
        <v>4735</v>
      </c>
      <c r="U127" s="1" t="str">
        <f>HYPERLINK("http://dx.doi.org/10.1080/23311932.2022.2132846","http://dx.doi.org/10.1080/23311932.2022.2132846")</f>
        <v>http://dx.doi.org/10.1080/23311932.2022.2132846</v>
      </c>
      <c r="V127" s="1">
        <v>7</v>
      </c>
      <c r="W127" s="1" t="s">
        <v>3532</v>
      </c>
      <c r="X127" s="1" t="s">
        <v>67</v>
      </c>
      <c r="Y127" s="1" t="s">
        <v>3370</v>
      </c>
      <c r="Z127" s="1" t="s">
        <v>48</v>
      </c>
      <c r="AA127" s="1" t="s">
        <v>125</v>
      </c>
    </row>
    <row r="128" spans="1:27" s="1" customFormat="1" ht="18.5" x14ac:dyDescent="0.45">
      <c r="A128" s="1" t="s">
        <v>4736</v>
      </c>
      <c r="B128" s="1" t="s">
        <v>4737</v>
      </c>
      <c r="C128" s="1" t="s">
        <v>4738</v>
      </c>
      <c r="D128" s="1" t="s">
        <v>53</v>
      </c>
      <c r="E128" s="2">
        <v>2022</v>
      </c>
      <c r="F128" s="1" t="s">
        <v>4739</v>
      </c>
      <c r="G128" s="1" t="s">
        <v>3900</v>
      </c>
      <c r="H128" s="1" t="s">
        <v>3901</v>
      </c>
      <c r="I128" s="1">
        <v>88</v>
      </c>
      <c r="J128" s="1">
        <v>9</v>
      </c>
      <c r="K128" s="1">
        <v>0</v>
      </c>
      <c r="L128" s="1">
        <v>2</v>
      </c>
      <c r="M128" s="1" t="s">
        <v>4740</v>
      </c>
      <c r="N128" s="1" t="s">
        <v>4741</v>
      </c>
      <c r="O128" s="1" t="s">
        <v>4742</v>
      </c>
      <c r="P128" s="1" t="s">
        <v>4743</v>
      </c>
      <c r="Q128" s="1" t="s">
        <v>4744</v>
      </c>
      <c r="R128" s="1">
        <v>11</v>
      </c>
      <c r="S128" s="1">
        <v>3</v>
      </c>
      <c r="T128" s="1" t="s">
        <v>4745</v>
      </c>
      <c r="U128" s="1" t="str">
        <f>HYPERLINK("http://dx.doi.org/10.1166/jon.2022.1842","http://dx.doi.org/10.1166/jon.2022.1842")</f>
        <v>http://dx.doi.org/10.1166/jon.2022.1842</v>
      </c>
      <c r="V128" s="1">
        <v>15</v>
      </c>
      <c r="W128" s="1" t="s">
        <v>2553</v>
      </c>
      <c r="X128" s="1" t="s">
        <v>124</v>
      </c>
      <c r="Y128" s="1" t="s">
        <v>336</v>
      </c>
      <c r="Z128" s="1" t="s">
        <v>48</v>
      </c>
      <c r="AA128" s="1" t="s">
        <v>48</v>
      </c>
    </row>
    <row r="129" spans="1:27" s="1" customFormat="1" ht="18.5" x14ac:dyDescent="0.45">
      <c r="A129" s="1" t="s">
        <v>4760</v>
      </c>
      <c r="B129" s="1" t="s">
        <v>4761</v>
      </c>
      <c r="C129" s="1" t="s">
        <v>4121</v>
      </c>
      <c r="D129" s="1" t="s">
        <v>53</v>
      </c>
      <c r="E129" s="2">
        <v>2022</v>
      </c>
      <c r="F129" s="1" t="s">
        <v>4762</v>
      </c>
      <c r="G129" s="1" t="s">
        <v>4763</v>
      </c>
      <c r="H129" s="1" t="s">
        <v>4764</v>
      </c>
      <c r="I129" s="1">
        <v>34</v>
      </c>
      <c r="J129" s="1">
        <v>0</v>
      </c>
      <c r="K129" s="1">
        <v>0</v>
      </c>
      <c r="L129" s="1">
        <v>1</v>
      </c>
      <c r="M129" s="1" t="s">
        <v>748</v>
      </c>
      <c r="N129" s="1" t="s">
        <v>749</v>
      </c>
      <c r="O129" s="1" t="s">
        <v>750</v>
      </c>
      <c r="P129" s="1" t="s">
        <v>4127</v>
      </c>
      <c r="Q129" s="1" t="s">
        <v>4128</v>
      </c>
      <c r="R129" s="1">
        <v>18</v>
      </c>
      <c r="S129" s="1">
        <v>3</v>
      </c>
      <c r="T129" s="1" t="s">
        <v>4765</v>
      </c>
      <c r="U129" s="1" t="str">
        <f>HYPERLINK("http://dx.doi.org/10.1142/S1793005722500363","http://dx.doi.org/10.1142/S1793005722500363")</f>
        <v>http://dx.doi.org/10.1142/S1793005722500363</v>
      </c>
      <c r="V129" s="1">
        <v>27</v>
      </c>
      <c r="W129" s="1" t="s">
        <v>3796</v>
      </c>
      <c r="X129" s="1" t="s">
        <v>124</v>
      </c>
      <c r="Y129" s="1" t="s">
        <v>137</v>
      </c>
      <c r="Z129" s="1" t="s">
        <v>48</v>
      </c>
      <c r="AA129" s="1" t="s">
        <v>48</v>
      </c>
    </row>
    <row r="130" spans="1:27" s="1" customFormat="1" ht="18.5" x14ac:dyDescent="0.45">
      <c r="A130" s="1" t="s">
        <v>4766</v>
      </c>
      <c r="B130" s="1" t="s">
        <v>4767</v>
      </c>
      <c r="C130" s="1" t="s">
        <v>4768</v>
      </c>
      <c r="D130" s="1" t="s">
        <v>53</v>
      </c>
      <c r="E130" s="2">
        <v>2022</v>
      </c>
      <c r="F130" s="1" t="s">
        <v>4769</v>
      </c>
      <c r="G130" s="1" t="s">
        <v>4770</v>
      </c>
      <c r="H130" s="1" t="s">
        <v>4771</v>
      </c>
      <c r="I130" s="1">
        <v>37</v>
      </c>
      <c r="J130" s="1">
        <v>2</v>
      </c>
      <c r="K130" s="1">
        <v>1</v>
      </c>
      <c r="L130" s="1">
        <v>15</v>
      </c>
      <c r="M130" s="1" t="s">
        <v>79</v>
      </c>
      <c r="N130" s="1" t="s">
        <v>80</v>
      </c>
      <c r="O130" s="1" t="s">
        <v>81</v>
      </c>
      <c r="P130" s="1" t="s">
        <v>48</v>
      </c>
      <c r="Q130" s="1" t="s">
        <v>4772</v>
      </c>
      <c r="R130" s="1">
        <v>29</v>
      </c>
      <c r="S130" s="1" t="s">
        <v>48</v>
      </c>
      <c r="T130" s="1" t="s">
        <v>4773</v>
      </c>
      <c r="U130" s="1" t="str">
        <f>HYPERLINK("http://dx.doi.org/10.1016/j.jarmap.2022.100372","http://dx.doi.org/10.1016/j.jarmap.2022.100372")</f>
        <v>http://dx.doi.org/10.1016/j.jarmap.2022.100372</v>
      </c>
      <c r="V130" s="1">
        <v>7</v>
      </c>
      <c r="W130" s="1" t="s">
        <v>426</v>
      </c>
      <c r="X130" s="1" t="s">
        <v>67</v>
      </c>
      <c r="Y130" s="1" t="s">
        <v>426</v>
      </c>
      <c r="Z130" s="1" t="s">
        <v>48</v>
      </c>
      <c r="AA130" s="1" t="s">
        <v>48</v>
      </c>
    </row>
    <row r="131" spans="1:27" s="1" customFormat="1" ht="18.5" x14ac:dyDescent="0.45">
      <c r="A131" s="1" t="s">
        <v>4774</v>
      </c>
      <c r="B131" s="1" t="s">
        <v>4775</v>
      </c>
      <c r="C131" s="1" t="s">
        <v>4776</v>
      </c>
      <c r="D131" s="1" t="s">
        <v>53</v>
      </c>
      <c r="E131" s="2">
        <v>2022</v>
      </c>
      <c r="F131" s="1" t="s">
        <v>4777</v>
      </c>
      <c r="G131" s="1" t="s">
        <v>4778</v>
      </c>
      <c r="H131" s="1" t="s">
        <v>4779</v>
      </c>
      <c r="I131" s="1">
        <v>42</v>
      </c>
      <c r="J131" s="1">
        <v>22</v>
      </c>
      <c r="K131" s="1">
        <v>1</v>
      </c>
      <c r="L131" s="1">
        <v>19</v>
      </c>
      <c r="M131" s="1" t="s">
        <v>215</v>
      </c>
      <c r="N131" s="1" t="s">
        <v>158</v>
      </c>
      <c r="O131" s="1" t="s">
        <v>216</v>
      </c>
      <c r="P131" s="1" t="s">
        <v>4780</v>
      </c>
      <c r="Q131" s="1" t="s">
        <v>4781</v>
      </c>
      <c r="R131" s="1">
        <v>189</v>
      </c>
      <c r="S131" s="1" t="s">
        <v>48</v>
      </c>
      <c r="T131" s="1" t="s">
        <v>4782</v>
      </c>
      <c r="U131" s="1" t="str">
        <f>HYPERLINK("http://dx.doi.org/10.1016/j.renene.2022.02.116","http://dx.doi.org/10.1016/j.renene.2022.02.116")</f>
        <v>http://dx.doi.org/10.1016/j.renene.2022.02.116</v>
      </c>
      <c r="V131" s="1">
        <v>10</v>
      </c>
      <c r="W131" s="1" t="s">
        <v>4783</v>
      </c>
      <c r="X131" s="1" t="s">
        <v>944</v>
      </c>
      <c r="Y131" s="1" t="s">
        <v>4784</v>
      </c>
      <c r="Z131" s="1" t="s">
        <v>48</v>
      </c>
      <c r="AA131" s="1" t="s">
        <v>48</v>
      </c>
    </row>
    <row r="132" spans="1:27" s="1" customFormat="1" ht="18.5" x14ac:dyDescent="0.45">
      <c r="A132" s="1" t="s">
        <v>4802</v>
      </c>
      <c r="B132" s="1" t="s">
        <v>4803</v>
      </c>
      <c r="C132" s="1" t="s">
        <v>4804</v>
      </c>
      <c r="D132" s="1" t="s">
        <v>53</v>
      </c>
      <c r="E132" s="2">
        <v>2022</v>
      </c>
      <c r="F132" s="1" t="s">
        <v>4805</v>
      </c>
      <c r="G132" s="1" t="s">
        <v>3791</v>
      </c>
      <c r="H132" s="1" t="s">
        <v>3721</v>
      </c>
      <c r="I132" s="1">
        <v>53</v>
      </c>
      <c r="J132" s="1">
        <v>1</v>
      </c>
      <c r="K132" s="1">
        <v>0</v>
      </c>
      <c r="L132" s="1">
        <v>1</v>
      </c>
      <c r="M132" s="1" t="s">
        <v>4806</v>
      </c>
      <c r="N132" s="1" t="s">
        <v>2166</v>
      </c>
      <c r="O132" s="1" t="s">
        <v>4807</v>
      </c>
      <c r="P132" s="1" t="s">
        <v>4808</v>
      </c>
      <c r="Q132" s="1" t="s">
        <v>4809</v>
      </c>
      <c r="R132" s="1">
        <v>21</v>
      </c>
      <c r="S132" s="1">
        <v>3</v>
      </c>
      <c r="T132" s="1" t="s">
        <v>48</v>
      </c>
      <c r="U132" s="1" t="s">
        <v>48</v>
      </c>
      <c r="V132" s="1">
        <v>14</v>
      </c>
      <c r="W132" s="1" t="s">
        <v>438</v>
      </c>
      <c r="X132" s="1" t="s">
        <v>67</v>
      </c>
      <c r="Y132" s="1" t="s">
        <v>439</v>
      </c>
      <c r="Z132" s="1" t="s">
        <v>48</v>
      </c>
      <c r="AA132" s="1" t="s">
        <v>48</v>
      </c>
    </row>
    <row r="133" spans="1:27" s="1" customFormat="1" ht="18.5" x14ac:dyDescent="0.45">
      <c r="A133" s="1" t="s">
        <v>4818</v>
      </c>
      <c r="B133" s="1" t="s">
        <v>4819</v>
      </c>
      <c r="C133" s="1" t="s">
        <v>1741</v>
      </c>
      <c r="D133" s="1" t="s">
        <v>53</v>
      </c>
      <c r="E133" s="2">
        <v>2022</v>
      </c>
      <c r="F133" s="1" t="s">
        <v>4820</v>
      </c>
      <c r="G133" s="1" t="s">
        <v>4821</v>
      </c>
      <c r="H133" s="1" t="s">
        <v>4822</v>
      </c>
      <c r="I133" s="1">
        <v>45</v>
      </c>
      <c r="J133" s="1">
        <v>12</v>
      </c>
      <c r="K133" s="1">
        <v>0</v>
      </c>
      <c r="L133" s="1">
        <v>9</v>
      </c>
      <c r="M133" s="1" t="s">
        <v>79</v>
      </c>
      <c r="N133" s="1" t="s">
        <v>80</v>
      </c>
      <c r="O133" s="1" t="s">
        <v>81</v>
      </c>
      <c r="P133" s="1" t="s">
        <v>1743</v>
      </c>
      <c r="Q133" s="1" t="s">
        <v>1744</v>
      </c>
      <c r="R133" s="1">
        <v>130</v>
      </c>
      <c r="S133" s="1" t="s">
        <v>48</v>
      </c>
      <c r="T133" s="1" t="s">
        <v>4823</v>
      </c>
      <c r="U133" s="1" t="str">
        <f>HYPERLINK("http://dx.doi.org/10.1016/j.asoc.2022.109681","http://dx.doi.org/10.1016/j.asoc.2022.109681")</f>
        <v>http://dx.doi.org/10.1016/j.asoc.2022.109681</v>
      </c>
      <c r="V133" s="1">
        <v>19</v>
      </c>
      <c r="W133" s="1" t="s">
        <v>1746</v>
      </c>
      <c r="X133" s="1" t="s">
        <v>67</v>
      </c>
      <c r="Y133" s="1" t="s">
        <v>292</v>
      </c>
      <c r="Z133" s="1" t="s">
        <v>48</v>
      </c>
      <c r="AA133" s="1" t="s">
        <v>48</v>
      </c>
    </row>
    <row r="134" spans="1:27" s="1" customFormat="1" ht="18.5" x14ac:dyDescent="0.45">
      <c r="A134" s="1" t="s">
        <v>4867</v>
      </c>
      <c r="B134" s="1" t="s">
        <v>4868</v>
      </c>
      <c r="C134" s="1" t="s">
        <v>4869</v>
      </c>
      <c r="D134" s="1" t="s">
        <v>53</v>
      </c>
      <c r="E134" s="2">
        <v>2022</v>
      </c>
      <c r="F134" s="1" t="s">
        <v>4870</v>
      </c>
      <c r="G134" s="1" t="s">
        <v>3791</v>
      </c>
      <c r="H134" s="1" t="s">
        <v>4871</v>
      </c>
      <c r="I134" s="1">
        <v>53</v>
      </c>
      <c r="J134" s="1">
        <v>1</v>
      </c>
      <c r="K134" s="1">
        <v>0</v>
      </c>
      <c r="L134" s="1">
        <v>2</v>
      </c>
      <c r="M134" s="1" t="s">
        <v>448</v>
      </c>
      <c r="N134" s="1" t="s">
        <v>449</v>
      </c>
      <c r="O134" s="1" t="s">
        <v>450</v>
      </c>
      <c r="P134" s="1" t="s">
        <v>4872</v>
      </c>
      <c r="Q134" s="1" t="s">
        <v>4873</v>
      </c>
      <c r="R134" s="1">
        <v>131</v>
      </c>
      <c r="S134" s="1">
        <v>2</v>
      </c>
      <c r="T134" s="1" t="s">
        <v>4876</v>
      </c>
      <c r="U134" s="1" t="str">
        <f>HYPERLINK("http://dx.doi.org/10.1007/s12040-022-01870-9","http://dx.doi.org/10.1007/s12040-022-01870-9")</f>
        <v>http://dx.doi.org/10.1007/s12040-022-01870-9</v>
      </c>
      <c r="V134" s="1">
        <v>16</v>
      </c>
      <c r="W134" s="1" t="s">
        <v>4877</v>
      </c>
      <c r="X134" s="1" t="s">
        <v>67</v>
      </c>
      <c r="Y134" s="1" t="s">
        <v>4878</v>
      </c>
      <c r="Z134" s="1" t="s">
        <v>48</v>
      </c>
      <c r="AA134" s="1" t="s">
        <v>48</v>
      </c>
    </row>
    <row r="135" spans="1:27" s="1" customFormat="1" ht="18.5" x14ac:dyDescent="0.45">
      <c r="A135" s="1" t="s">
        <v>4972</v>
      </c>
      <c r="B135" s="1" t="s">
        <v>4973</v>
      </c>
      <c r="C135" s="1" t="s">
        <v>4974</v>
      </c>
      <c r="D135" s="1" t="s">
        <v>53</v>
      </c>
      <c r="E135" s="2">
        <v>2022</v>
      </c>
      <c r="F135" s="1" t="s">
        <v>4975</v>
      </c>
      <c r="G135" s="1" t="s">
        <v>58</v>
      </c>
      <c r="H135" s="1" t="s">
        <v>4976</v>
      </c>
      <c r="I135" s="1">
        <v>26</v>
      </c>
      <c r="J135" s="1">
        <v>2</v>
      </c>
      <c r="K135" s="1">
        <v>0</v>
      </c>
      <c r="L135" s="1">
        <v>1</v>
      </c>
      <c r="M135" s="1" t="s">
        <v>1297</v>
      </c>
      <c r="N135" s="1" t="s">
        <v>158</v>
      </c>
      <c r="O135" s="1" t="s">
        <v>1298</v>
      </c>
      <c r="P135" s="1" t="s">
        <v>4977</v>
      </c>
      <c r="Q135" s="1" t="s">
        <v>4978</v>
      </c>
      <c r="R135" s="1">
        <v>69</v>
      </c>
      <c r="S135" s="1">
        <v>1</v>
      </c>
      <c r="T135" s="1" t="s">
        <v>4979</v>
      </c>
      <c r="U135" s="1" t="str">
        <f>HYPERLINK("http://dx.doi.org/10.1093/tropej/fmad005","http://dx.doi.org/10.1093/tropej/fmad005")</f>
        <v>http://dx.doi.org/10.1093/tropej/fmad005</v>
      </c>
      <c r="V135" s="1">
        <v>8</v>
      </c>
      <c r="W135" s="1" t="s">
        <v>4980</v>
      </c>
      <c r="X135" s="1" t="s">
        <v>67</v>
      </c>
      <c r="Y135" s="1" t="s">
        <v>4980</v>
      </c>
      <c r="Z135" s="1">
        <v>36692306</v>
      </c>
      <c r="AA135" s="1" t="s">
        <v>48</v>
      </c>
    </row>
    <row r="136" spans="1:27" s="1" customFormat="1" ht="18.5" x14ac:dyDescent="0.45">
      <c r="A136" s="1" t="s">
        <v>5070</v>
      </c>
      <c r="B136" s="1" t="s">
        <v>5071</v>
      </c>
      <c r="C136" s="1" t="s">
        <v>5072</v>
      </c>
      <c r="D136" s="1" t="s">
        <v>53</v>
      </c>
      <c r="E136" s="2">
        <v>2022</v>
      </c>
      <c r="F136" s="1" t="s">
        <v>5073</v>
      </c>
      <c r="G136" s="1" t="s">
        <v>3976</v>
      </c>
      <c r="H136" s="1" t="s">
        <v>5074</v>
      </c>
      <c r="I136" s="1">
        <v>54</v>
      </c>
      <c r="J136" s="1">
        <v>5</v>
      </c>
      <c r="K136" s="1">
        <v>0</v>
      </c>
      <c r="L136" s="1">
        <v>2</v>
      </c>
      <c r="M136" s="1" t="s">
        <v>79</v>
      </c>
      <c r="N136" s="1" t="s">
        <v>80</v>
      </c>
      <c r="O136" s="1" t="s">
        <v>81</v>
      </c>
      <c r="P136" s="1" t="s">
        <v>48</v>
      </c>
      <c r="Q136" s="1" t="s">
        <v>5075</v>
      </c>
      <c r="R136" s="1">
        <v>35</v>
      </c>
      <c r="S136" s="1" t="s">
        <v>48</v>
      </c>
      <c r="T136" s="1" t="s">
        <v>5076</v>
      </c>
      <c r="U136" s="1" t="str">
        <f>HYPERLINK("http://dx.doi.org/10.1016/j.dark.2022.100970","http://dx.doi.org/10.1016/j.dark.2022.100970")</f>
        <v>http://dx.doi.org/10.1016/j.dark.2022.100970</v>
      </c>
      <c r="V136" s="1">
        <v>9</v>
      </c>
      <c r="W136" s="1" t="s">
        <v>5077</v>
      </c>
      <c r="X136" s="1" t="s">
        <v>67</v>
      </c>
      <c r="Y136" s="1" t="s">
        <v>5077</v>
      </c>
      <c r="Z136" s="1" t="s">
        <v>48</v>
      </c>
      <c r="AA136" s="1" t="s">
        <v>4333</v>
      </c>
    </row>
    <row r="137" spans="1:27" s="1" customFormat="1" ht="18.5" x14ac:dyDescent="0.45">
      <c r="A137" s="1" t="s">
        <v>5078</v>
      </c>
      <c r="B137" s="1" t="s">
        <v>5079</v>
      </c>
      <c r="C137" s="1" t="s">
        <v>2737</v>
      </c>
      <c r="D137" s="1" t="s">
        <v>53</v>
      </c>
      <c r="E137" s="2">
        <v>2022</v>
      </c>
      <c r="F137" s="1" t="s">
        <v>5080</v>
      </c>
      <c r="G137" s="1" t="s">
        <v>5067</v>
      </c>
      <c r="H137" s="1" t="s">
        <v>5081</v>
      </c>
      <c r="I137" s="1">
        <v>38</v>
      </c>
      <c r="J137" s="1">
        <v>5</v>
      </c>
      <c r="K137" s="1">
        <v>1</v>
      </c>
      <c r="L137" s="1">
        <v>3</v>
      </c>
      <c r="M137" s="1" t="s">
        <v>2741</v>
      </c>
      <c r="N137" s="1" t="s">
        <v>80</v>
      </c>
      <c r="O137" s="1" t="s">
        <v>2742</v>
      </c>
      <c r="P137" s="1" t="s">
        <v>2743</v>
      </c>
      <c r="Q137" s="1" t="s">
        <v>2744</v>
      </c>
      <c r="R137" s="1">
        <v>43</v>
      </c>
      <c r="S137" s="1">
        <v>3</v>
      </c>
      <c r="T137" s="1" t="s">
        <v>5082</v>
      </c>
      <c r="U137" s="1" t="str">
        <f>HYPERLINK("http://dx.doi.org/10.3233/JIFS-213189","http://dx.doi.org/10.3233/JIFS-213189")</f>
        <v>http://dx.doi.org/10.3233/JIFS-213189</v>
      </c>
      <c r="V137" s="1">
        <v>14</v>
      </c>
      <c r="W137" s="1" t="s">
        <v>549</v>
      </c>
      <c r="X137" s="1" t="s">
        <v>67</v>
      </c>
      <c r="Y137" s="1" t="s">
        <v>292</v>
      </c>
      <c r="Z137" s="1" t="s">
        <v>48</v>
      </c>
      <c r="AA137" s="1" t="s">
        <v>48</v>
      </c>
    </row>
    <row r="138" spans="1:27" s="1" customFormat="1" ht="18.5" x14ac:dyDescent="0.45">
      <c r="A138" s="1" t="s">
        <v>5112</v>
      </c>
      <c r="B138" s="1" t="s">
        <v>5113</v>
      </c>
      <c r="C138" s="1" t="s">
        <v>5114</v>
      </c>
      <c r="D138" s="1" t="s">
        <v>53</v>
      </c>
      <c r="E138" s="2">
        <v>2022</v>
      </c>
      <c r="F138" s="1" t="s">
        <v>5115</v>
      </c>
      <c r="G138" s="1" t="s">
        <v>5116</v>
      </c>
      <c r="H138" s="1" t="s">
        <v>5117</v>
      </c>
      <c r="I138" s="1">
        <v>103</v>
      </c>
      <c r="J138" s="1">
        <v>6</v>
      </c>
      <c r="K138" s="1">
        <v>6</v>
      </c>
      <c r="L138" s="1">
        <v>17</v>
      </c>
      <c r="M138" s="1" t="s">
        <v>347</v>
      </c>
      <c r="N138" s="1" t="s">
        <v>348</v>
      </c>
      <c r="O138" s="1" t="s">
        <v>349</v>
      </c>
      <c r="P138" s="1" t="s">
        <v>5118</v>
      </c>
      <c r="Q138" s="1" t="s">
        <v>5119</v>
      </c>
      <c r="R138" s="1">
        <v>47</v>
      </c>
      <c r="S138" s="1">
        <v>9</v>
      </c>
      <c r="T138" s="1" t="s">
        <v>5120</v>
      </c>
      <c r="U138" s="1" t="str">
        <f>HYPERLINK("http://dx.doi.org/10.1002/esp.5374","http://dx.doi.org/10.1002/esp.5374")</f>
        <v>http://dx.doi.org/10.1002/esp.5374</v>
      </c>
      <c r="V138" s="1">
        <v>21</v>
      </c>
      <c r="W138" s="1" t="s">
        <v>5121</v>
      </c>
      <c r="X138" s="1" t="s">
        <v>67</v>
      </c>
      <c r="Y138" s="1" t="s">
        <v>5122</v>
      </c>
      <c r="Z138" s="1" t="s">
        <v>48</v>
      </c>
      <c r="AA138" s="1" t="s">
        <v>48</v>
      </c>
    </row>
    <row r="139" spans="1:27" s="1" customFormat="1" ht="18.5" x14ac:dyDescent="0.45">
      <c r="A139" s="1" t="s">
        <v>5124</v>
      </c>
      <c r="B139" s="1" t="s">
        <v>5125</v>
      </c>
      <c r="C139" s="1" t="s">
        <v>800</v>
      </c>
      <c r="D139" s="1" t="s">
        <v>53</v>
      </c>
      <c r="E139" s="2">
        <v>2022</v>
      </c>
      <c r="F139" s="1" t="s">
        <v>5126</v>
      </c>
      <c r="G139" s="1" t="s">
        <v>5127</v>
      </c>
      <c r="H139" s="1" t="s">
        <v>214</v>
      </c>
      <c r="I139" s="1">
        <v>60</v>
      </c>
      <c r="J139" s="1">
        <v>9</v>
      </c>
      <c r="K139" s="1">
        <v>1</v>
      </c>
      <c r="L139" s="1">
        <v>8</v>
      </c>
      <c r="M139" s="1" t="s">
        <v>803</v>
      </c>
      <c r="N139" s="1" t="s">
        <v>239</v>
      </c>
      <c r="O139" s="1" t="s">
        <v>804</v>
      </c>
      <c r="P139" s="1" t="s">
        <v>805</v>
      </c>
      <c r="Q139" s="1" t="s">
        <v>806</v>
      </c>
      <c r="R139" s="1">
        <v>59</v>
      </c>
      <c r="S139" s="1">
        <v>3</v>
      </c>
      <c r="T139" s="1" t="s">
        <v>5128</v>
      </c>
      <c r="U139" s="1" t="str">
        <f>HYPERLINK("http://dx.doi.org/10.1007/s12597-022-00578-0","http://dx.doi.org/10.1007/s12597-022-00578-0")</f>
        <v>http://dx.doi.org/10.1007/s12597-022-00578-0</v>
      </c>
      <c r="V139" s="1">
        <v>46</v>
      </c>
      <c r="W139" s="1" t="s">
        <v>580</v>
      </c>
      <c r="X139" s="1" t="s">
        <v>124</v>
      </c>
      <c r="Y139" s="1" t="s">
        <v>580</v>
      </c>
      <c r="Z139" s="1" t="s">
        <v>48</v>
      </c>
      <c r="AA139" s="1" t="s">
        <v>48</v>
      </c>
    </row>
    <row r="140" spans="1:27" s="1" customFormat="1" ht="18.5" x14ac:dyDescent="0.45">
      <c r="A140" s="1" t="s">
        <v>5129</v>
      </c>
      <c r="B140" s="1" t="s">
        <v>5130</v>
      </c>
      <c r="C140" s="1" t="s">
        <v>2618</v>
      </c>
      <c r="D140" s="1" t="s">
        <v>53</v>
      </c>
      <c r="E140" s="2">
        <v>2022</v>
      </c>
      <c r="F140" s="1" t="s">
        <v>5131</v>
      </c>
      <c r="G140" s="1" t="s">
        <v>3475</v>
      </c>
      <c r="H140" s="1" t="s">
        <v>5132</v>
      </c>
      <c r="I140" s="1">
        <v>70</v>
      </c>
      <c r="J140" s="1">
        <v>1</v>
      </c>
      <c r="K140" s="1">
        <v>0</v>
      </c>
      <c r="L140" s="1">
        <v>12</v>
      </c>
      <c r="M140" s="1" t="s">
        <v>503</v>
      </c>
      <c r="N140" s="1" t="s">
        <v>542</v>
      </c>
      <c r="O140" s="1" t="s">
        <v>543</v>
      </c>
      <c r="P140" s="1" t="s">
        <v>2623</v>
      </c>
      <c r="Q140" s="1" t="s">
        <v>2624</v>
      </c>
      <c r="R140" s="1">
        <v>33</v>
      </c>
      <c r="S140" s="1">
        <v>31</v>
      </c>
      <c r="T140" s="1" t="s">
        <v>5133</v>
      </c>
      <c r="U140" s="1" t="str">
        <f>HYPERLINK("http://dx.doi.org/10.1007/s10854-022-07879-6","http://dx.doi.org/10.1007/s10854-022-07879-6")</f>
        <v>http://dx.doi.org/10.1007/s10854-022-07879-6</v>
      </c>
      <c r="V140" s="1">
        <v>15</v>
      </c>
      <c r="W140" s="1" t="s">
        <v>2628</v>
      </c>
      <c r="X140" s="1" t="s">
        <v>67</v>
      </c>
      <c r="Y140" s="1" t="s">
        <v>2629</v>
      </c>
      <c r="Z140" s="1" t="s">
        <v>48</v>
      </c>
      <c r="AA140" s="1" t="s">
        <v>48</v>
      </c>
    </row>
    <row r="141" spans="1:27" s="1" customFormat="1" ht="18.5" x14ac:dyDescent="0.45">
      <c r="A141" s="1" t="s">
        <v>5146</v>
      </c>
      <c r="B141" s="1" t="s">
        <v>5147</v>
      </c>
      <c r="C141" s="1" t="s">
        <v>5148</v>
      </c>
      <c r="D141" s="1" t="s">
        <v>53</v>
      </c>
      <c r="E141" s="2">
        <v>2022</v>
      </c>
      <c r="F141" s="1" t="s">
        <v>5149</v>
      </c>
      <c r="G141" s="1" t="s">
        <v>5150</v>
      </c>
      <c r="H141" s="1" t="s">
        <v>1140</v>
      </c>
      <c r="I141" s="1">
        <v>33</v>
      </c>
      <c r="J141" s="1">
        <v>3</v>
      </c>
      <c r="K141" s="1">
        <v>5</v>
      </c>
      <c r="L141" s="1">
        <v>28</v>
      </c>
      <c r="M141" s="1" t="s">
        <v>5151</v>
      </c>
      <c r="N141" s="1" t="s">
        <v>5152</v>
      </c>
      <c r="O141" s="1" t="s">
        <v>5153</v>
      </c>
      <c r="P141" s="1" t="s">
        <v>5154</v>
      </c>
      <c r="Q141" s="1" t="s">
        <v>48</v>
      </c>
      <c r="R141" s="1">
        <v>7</v>
      </c>
      <c r="S141" s="1">
        <v>7</v>
      </c>
      <c r="T141" s="1" t="s">
        <v>5155</v>
      </c>
      <c r="U141" s="1" t="str">
        <f>HYPERLINK("http://dx.doi.org/10.9781/ijimai.2021.08.016","http://dx.doi.org/10.9781/ijimai.2021.08.016")</f>
        <v>http://dx.doi.org/10.9781/ijimai.2021.08.016</v>
      </c>
      <c r="V141" s="1">
        <v>7</v>
      </c>
      <c r="W141" s="1" t="s">
        <v>1746</v>
      </c>
      <c r="X141" s="1" t="s">
        <v>67</v>
      </c>
      <c r="Y141" s="1" t="s">
        <v>292</v>
      </c>
      <c r="Z141" s="1" t="s">
        <v>48</v>
      </c>
      <c r="AA141" s="1" t="s">
        <v>5156</v>
      </c>
    </row>
    <row r="142" spans="1:27" s="1" customFormat="1" ht="18.5" x14ac:dyDescent="0.45">
      <c r="A142" s="1" t="s">
        <v>5157</v>
      </c>
      <c r="B142" s="1" t="s">
        <v>5158</v>
      </c>
      <c r="C142" s="1" t="s">
        <v>5159</v>
      </c>
      <c r="D142" s="1" t="s">
        <v>53</v>
      </c>
      <c r="E142" s="2">
        <v>2022</v>
      </c>
      <c r="F142" s="1" t="s">
        <v>5160</v>
      </c>
      <c r="G142" s="1" t="s">
        <v>5161</v>
      </c>
      <c r="H142" s="1" t="s">
        <v>5162</v>
      </c>
      <c r="I142" s="1">
        <v>178</v>
      </c>
      <c r="J142" s="1">
        <v>20</v>
      </c>
      <c r="K142" s="1">
        <v>2</v>
      </c>
      <c r="L142" s="1">
        <v>15</v>
      </c>
      <c r="M142" s="1" t="s">
        <v>79</v>
      </c>
      <c r="N142" s="1" t="s">
        <v>80</v>
      </c>
      <c r="O142" s="1" t="s">
        <v>81</v>
      </c>
      <c r="P142" s="1" t="s">
        <v>5163</v>
      </c>
      <c r="Q142" s="1" t="s">
        <v>5164</v>
      </c>
      <c r="R142" s="1">
        <v>790</v>
      </c>
      <c r="S142" s="1" t="s">
        <v>48</v>
      </c>
      <c r="T142" s="1" t="s">
        <v>5165</v>
      </c>
      <c r="U142" s="1" t="str">
        <f>HYPERLINK("http://dx.doi.org/10.1016/j.mrrev.2022.108444","http://dx.doi.org/10.1016/j.mrrev.2022.108444")</f>
        <v>http://dx.doi.org/10.1016/j.mrrev.2022.108444</v>
      </c>
      <c r="V142" s="1">
        <v>17</v>
      </c>
      <c r="W142" s="1" t="s">
        <v>5166</v>
      </c>
      <c r="X142" s="1" t="s">
        <v>67</v>
      </c>
      <c r="Y142" s="1" t="s">
        <v>5166</v>
      </c>
      <c r="Z142" s="1">
        <v>36307006</v>
      </c>
      <c r="AA142" s="1" t="s">
        <v>48</v>
      </c>
    </row>
    <row r="143" spans="1:27" s="1" customFormat="1" ht="18.5" x14ac:dyDescent="0.45">
      <c r="A143" s="1" t="s">
        <v>5167</v>
      </c>
      <c r="B143" s="1" t="s">
        <v>5168</v>
      </c>
      <c r="C143" s="1" t="s">
        <v>5169</v>
      </c>
      <c r="D143" s="1" t="s">
        <v>53</v>
      </c>
      <c r="E143" s="2">
        <v>2022</v>
      </c>
      <c r="F143" s="1" t="s">
        <v>5170</v>
      </c>
      <c r="G143" s="1" t="s">
        <v>5171</v>
      </c>
      <c r="H143" s="1" t="s">
        <v>5172</v>
      </c>
      <c r="I143" s="1">
        <v>89</v>
      </c>
      <c r="J143" s="1">
        <v>7</v>
      </c>
      <c r="K143" s="1">
        <v>2</v>
      </c>
      <c r="L143" s="1">
        <v>25</v>
      </c>
      <c r="M143" s="1" t="s">
        <v>132</v>
      </c>
      <c r="N143" s="1" t="s">
        <v>133</v>
      </c>
      <c r="O143" s="1" t="s">
        <v>134</v>
      </c>
      <c r="P143" s="1" t="s">
        <v>48</v>
      </c>
      <c r="Q143" s="1" t="s">
        <v>5173</v>
      </c>
      <c r="R143" s="1">
        <v>11</v>
      </c>
      <c r="S143" s="1">
        <v>12</v>
      </c>
      <c r="T143" s="1" t="s">
        <v>5174</v>
      </c>
      <c r="U143" s="1" t="str">
        <f>HYPERLINK("http://dx.doi.org/10.3390/foods11121711","http://dx.doi.org/10.3390/foods11121711")</f>
        <v>http://dx.doi.org/10.3390/foods11121711</v>
      </c>
      <c r="V143" s="1">
        <v>19</v>
      </c>
      <c r="W143" s="1" t="s">
        <v>2971</v>
      </c>
      <c r="X143" s="1" t="s">
        <v>67</v>
      </c>
      <c r="Y143" s="1" t="s">
        <v>2971</v>
      </c>
      <c r="Z143" s="1">
        <v>35741908</v>
      </c>
      <c r="AA143" s="1" t="s">
        <v>5175</v>
      </c>
    </row>
    <row r="144" spans="1:27" s="1" customFormat="1" ht="18.5" x14ac:dyDescent="0.45">
      <c r="A144" s="1" t="s">
        <v>5188</v>
      </c>
      <c r="B144" s="1" t="s">
        <v>5189</v>
      </c>
      <c r="C144" s="1" t="s">
        <v>5190</v>
      </c>
      <c r="D144" s="1" t="s">
        <v>53</v>
      </c>
      <c r="E144" s="2">
        <v>2022</v>
      </c>
      <c r="F144" s="1" t="s">
        <v>5191</v>
      </c>
      <c r="G144" s="1" t="s">
        <v>3900</v>
      </c>
      <c r="H144" s="1" t="s">
        <v>5192</v>
      </c>
      <c r="I144" s="1">
        <v>61</v>
      </c>
      <c r="J144" s="1">
        <v>8</v>
      </c>
      <c r="K144" s="1">
        <v>2</v>
      </c>
      <c r="L144" s="1">
        <v>13</v>
      </c>
      <c r="M144" s="1" t="s">
        <v>5193</v>
      </c>
      <c r="N144" s="1" t="s">
        <v>5194</v>
      </c>
      <c r="O144" s="1" t="s">
        <v>5195</v>
      </c>
      <c r="P144" s="1" t="s">
        <v>5196</v>
      </c>
      <c r="Q144" s="1" t="s">
        <v>5197</v>
      </c>
      <c r="R144" s="1">
        <v>80</v>
      </c>
      <c r="S144" s="1">
        <v>3</v>
      </c>
      <c r="T144" s="1" t="s">
        <v>5198</v>
      </c>
      <c r="U144" s="1" t="str">
        <f>HYPERLINK("http://dx.doi.org/10.1007/s12013-022-01083-3","http://dx.doi.org/10.1007/s12013-022-01083-3")</f>
        <v>http://dx.doi.org/10.1007/s12013-022-01083-3</v>
      </c>
      <c r="V144" s="1">
        <v>16</v>
      </c>
      <c r="W144" s="1" t="s">
        <v>5199</v>
      </c>
      <c r="X144" s="1" t="s">
        <v>67</v>
      </c>
      <c r="Y144" s="1" t="s">
        <v>5199</v>
      </c>
      <c r="Z144" s="1">
        <v>35849306</v>
      </c>
      <c r="AA144" s="1" t="s">
        <v>48</v>
      </c>
    </row>
    <row r="145" spans="1:27" s="1" customFormat="1" ht="18.5" x14ac:dyDescent="0.45">
      <c r="A145" s="1" t="s">
        <v>5200</v>
      </c>
      <c r="B145" s="1" t="s">
        <v>5201</v>
      </c>
      <c r="C145" s="1" t="s">
        <v>5202</v>
      </c>
      <c r="D145" s="1" t="s">
        <v>1114</v>
      </c>
      <c r="E145" s="2">
        <v>2022</v>
      </c>
      <c r="F145" s="1" t="s">
        <v>5203</v>
      </c>
      <c r="G145" s="1" t="s">
        <v>5204</v>
      </c>
      <c r="H145" s="1" t="s">
        <v>5205</v>
      </c>
      <c r="I145" s="1">
        <v>219</v>
      </c>
      <c r="J145" s="1">
        <v>3</v>
      </c>
      <c r="K145" s="1">
        <v>1</v>
      </c>
      <c r="L145" s="1">
        <v>73</v>
      </c>
      <c r="M145" s="1" t="s">
        <v>5206</v>
      </c>
      <c r="N145" s="1" t="s">
        <v>2817</v>
      </c>
      <c r="O145" s="1" t="s">
        <v>5207</v>
      </c>
      <c r="P145" s="1" t="s">
        <v>5208</v>
      </c>
      <c r="Q145" s="1" t="s">
        <v>48</v>
      </c>
      <c r="R145" s="1">
        <v>12</v>
      </c>
      <c r="S145" s="1">
        <v>3</v>
      </c>
      <c r="T145" s="1" t="s">
        <v>5209</v>
      </c>
      <c r="U145" s="1" t="str">
        <f>HYPERLINK("http://dx.doi.org/10.33263/BRIAC123.39003937","http://dx.doi.org/10.33263/BRIAC123.39003937")</f>
        <v>http://dx.doi.org/10.33263/BRIAC123.39003937</v>
      </c>
      <c r="V145" s="1">
        <v>38</v>
      </c>
      <c r="W145" s="1" t="s">
        <v>5210</v>
      </c>
      <c r="X145" s="1" t="s">
        <v>124</v>
      </c>
      <c r="Y145" s="1" t="s">
        <v>2293</v>
      </c>
      <c r="Z145" s="1" t="s">
        <v>48</v>
      </c>
      <c r="AA145" s="1" t="s">
        <v>125</v>
      </c>
    </row>
    <row r="146" spans="1:27" s="1" customFormat="1" ht="18.5" x14ac:dyDescent="0.45">
      <c r="A146" s="1" t="s">
        <v>5229</v>
      </c>
      <c r="B146" s="1" t="s">
        <v>5230</v>
      </c>
      <c r="C146" s="1" t="s">
        <v>2575</v>
      </c>
      <c r="D146" s="1" t="s">
        <v>53</v>
      </c>
      <c r="E146" s="2">
        <v>2022</v>
      </c>
      <c r="F146" s="1" t="s">
        <v>5231</v>
      </c>
      <c r="G146" s="1" t="s">
        <v>5232</v>
      </c>
      <c r="H146" s="1" t="s">
        <v>5233</v>
      </c>
      <c r="I146" s="1">
        <v>24</v>
      </c>
      <c r="J146" s="1">
        <v>1</v>
      </c>
      <c r="K146" s="1">
        <v>0</v>
      </c>
      <c r="L146" s="1">
        <v>4</v>
      </c>
      <c r="M146" s="1" t="s">
        <v>503</v>
      </c>
      <c r="N146" s="1" t="s">
        <v>542</v>
      </c>
      <c r="O146" s="1" t="s">
        <v>543</v>
      </c>
      <c r="P146" s="1" t="s">
        <v>2581</v>
      </c>
      <c r="Q146" s="1" t="s">
        <v>2582</v>
      </c>
      <c r="R146" s="1">
        <v>81</v>
      </c>
      <c r="S146" s="1">
        <v>28</v>
      </c>
      <c r="T146" s="1" t="s">
        <v>5234</v>
      </c>
      <c r="U146" s="1" t="str">
        <f>HYPERLINK("http://dx.doi.org/10.1007/s11042-022-12556-1","http://dx.doi.org/10.1007/s11042-022-12556-1")</f>
        <v>http://dx.doi.org/10.1007/s11042-022-12556-1</v>
      </c>
      <c r="V146" s="1">
        <v>27</v>
      </c>
      <c r="W146" s="1" t="s">
        <v>2586</v>
      </c>
      <c r="X146" s="1" t="s">
        <v>67</v>
      </c>
      <c r="Y146" s="1" t="s">
        <v>389</v>
      </c>
      <c r="Z146" s="1" t="s">
        <v>48</v>
      </c>
      <c r="AA146" s="1" t="s">
        <v>48</v>
      </c>
    </row>
    <row r="147" spans="1:27" s="1" customFormat="1" ht="18.5" x14ac:dyDescent="0.45">
      <c r="A147" s="1" t="s">
        <v>5260</v>
      </c>
      <c r="B147" s="1" t="s">
        <v>5261</v>
      </c>
      <c r="C147" s="1" t="s">
        <v>1741</v>
      </c>
      <c r="D147" s="1" t="s">
        <v>53</v>
      </c>
      <c r="E147" s="2">
        <v>2022</v>
      </c>
      <c r="F147" s="1" t="s">
        <v>5262</v>
      </c>
      <c r="G147" s="1" t="s">
        <v>3520</v>
      </c>
      <c r="H147" s="1" t="s">
        <v>5263</v>
      </c>
      <c r="I147" s="1">
        <v>50</v>
      </c>
      <c r="J147" s="1">
        <v>15</v>
      </c>
      <c r="K147" s="1">
        <v>0</v>
      </c>
      <c r="L147" s="1">
        <v>3</v>
      </c>
      <c r="M147" s="1" t="s">
        <v>79</v>
      </c>
      <c r="N147" s="1" t="s">
        <v>80</v>
      </c>
      <c r="O147" s="1" t="s">
        <v>81</v>
      </c>
      <c r="P147" s="1" t="s">
        <v>1743</v>
      </c>
      <c r="Q147" s="1" t="s">
        <v>1744</v>
      </c>
      <c r="R147" s="1">
        <v>129</v>
      </c>
      <c r="S147" s="1" t="s">
        <v>48</v>
      </c>
      <c r="T147" s="1" t="s">
        <v>5264</v>
      </c>
      <c r="U147" s="1" t="str">
        <f>HYPERLINK("http://dx.doi.org/10.1016/j.asoc.2022.109576","http://dx.doi.org/10.1016/j.asoc.2022.109576")</f>
        <v>http://dx.doi.org/10.1016/j.asoc.2022.109576</v>
      </c>
      <c r="V147" s="1">
        <v>17</v>
      </c>
      <c r="W147" s="1" t="s">
        <v>1746</v>
      </c>
      <c r="X147" s="1" t="s">
        <v>67</v>
      </c>
      <c r="Y147" s="1" t="s">
        <v>292</v>
      </c>
      <c r="Z147" s="1">
        <v>36061417</v>
      </c>
      <c r="AA147" s="1" t="s">
        <v>1325</v>
      </c>
    </row>
    <row r="148" spans="1:27" s="1" customFormat="1" ht="18.5" x14ac:dyDescent="0.45">
      <c r="A148" s="1" t="s">
        <v>5265</v>
      </c>
      <c r="B148" s="1" t="s">
        <v>5266</v>
      </c>
      <c r="C148" s="1" t="s">
        <v>513</v>
      </c>
      <c r="D148" s="1" t="s">
        <v>53</v>
      </c>
      <c r="E148" s="2">
        <v>2022</v>
      </c>
      <c r="F148" s="1" t="s">
        <v>5267</v>
      </c>
      <c r="G148" s="1" t="s">
        <v>5268</v>
      </c>
      <c r="H148" s="1" t="s">
        <v>5269</v>
      </c>
      <c r="I148" s="1">
        <v>51</v>
      </c>
      <c r="J148" s="1">
        <v>2</v>
      </c>
      <c r="K148" s="1">
        <v>1</v>
      </c>
      <c r="L148" s="1">
        <v>6</v>
      </c>
      <c r="M148" s="1" t="s">
        <v>517</v>
      </c>
      <c r="N148" s="1" t="s">
        <v>239</v>
      </c>
      <c r="O148" s="1" t="s">
        <v>518</v>
      </c>
      <c r="P148" s="1" t="s">
        <v>519</v>
      </c>
      <c r="Q148" s="1" t="s">
        <v>520</v>
      </c>
      <c r="R148" s="1">
        <v>60</v>
      </c>
      <c r="S148" s="1">
        <v>9</v>
      </c>
      <c r="T148" s="1" t="s">
        <v>5270</v>
      </c>
      <c r="U148" s="1" t="str">
        <f>HYPERLINK("http://dx.doi.org/10.56042/ijeb.v60i09.65140","http://dx.doi.org/10.56042/ijeb.v60i09.65140")</f>
        <v>http://dx.doi.org/10.56042/ijeb.v60i09.65140</v>
      </c>
      <c r="V148" s="1">
        <v>12</v>
      </c>
      <c r="W148" s="1" t="s">
        <v>522</v>
      </c>
      <c r="X148" s="1" t="s">
        <v>67</v>
      </c>
      <c r="Y148" s="1" t="s">
        <v>523</v>
      </c>
      <c r="Z148" s="1" t="s">
        <v>48</v>
      </c>
      <c r="AA148" s="1" t="s">
        <v>125</v>
      </c>
    </row>
    <row r="149" spans="1:27" s="1" customFormat="1" ht="18.5" x14ac:dyDescent="0.45">
      <c r="A149" s="1" t="s">
        <v>5361</v>
      </c>
      <c r="B149" s="1" t="s">
        <v>5362</v>
      </c>
      <c r="C149" s="1" t="s">
        <v>3334</v>
      </c>
      <c r="D149" s="1" t="s">
        <v>53</v>
      </c>
      <c r="E149" s="2">
        <v>2022</v>
      </c>
      <c r="F149" s="1" t="s">
        <v>5363</v>
      </c>
      <c r="G149" s="1" t="s">
        <v>5364</v>
      </c>
      <c r="H149" s="1" t="s">
        <v>5365</v>
      </c>
      <c r="I149" s="1">
        <v>39</v>
      </c>
      <c r="J149" s="1">
        <v>0</v>
      </c>
      <c r="K149" s="1">
        <v>2</v>
      </c>
      <c r="L149" s="1">
        <v>12</v>
      </c>
      <c r="M149" s="1" t="s">
        <v>3340</v>
      </c>
      <c r="N149" s="1" t="s">
        <v>471</v>
      </c>
      <c r="O149" s="1" t="s">
        <v>3341</v>
      </c>
      <c r="P149" s="1" t="s">
        <v>3342</v>
      </c>
      <c r="Q149" s="1" t="s">
        <v>3343</v>
      </c>
      <c r="R149" s="1">
        <v>42</v>
      </c>
      <c r="S149" s="1">
        <v>1</v>
      </c>
      <c r="T149" s="1" t="s">
        <v>5366</v>
      </c>
      <c r="U149" s="1" t="str">
        <f>HYPERLINK("http://dx.doi.org/10.14429/djlit.42.1.17121","http://dx.doi.org/10.14429/djlit.42.1.17121")</f>
        <v>http://dx.doi.org/10.14429/djlit.42.1.17121</v>
      </c>
      <c r="V149" s="1">
        <v>8</v>
      </c>
      <c r="W149" s="1" t="s">
        <v>1158</v>
      </c>
      <c r="X149" s="1" t="s">
        <v>124</v>
      </c>
      <c r="Y149" s="1" t="s">
        <v>1158</v>
      </c>
      <c r="Z149" s="1" t="s">
        <v>48</v>
      </c>
      <c r="AA149" s="1" t="s">
        <v>125</v>
      </c>
    </row>
    <row r="150" spans="1:27" s="1" customFormat="1" ht="18.5" x14ac:dyDescent="0.45">
      <c r="A150" s="1" t="s">
        <v>5389</v>
      </c>
      <c r="B150" s="1" t="s">
        <v>5390</v>
      </c>
      <c r="C150" s="1" t="s">
        <v>5391</v>
      </c>
      <c r="D150" s="1" t="s">
        <v>53</v>
      </c>
      <c r="E150" s="2">
        <v>2022</v>
      </c>
      <c r="F150" s="1" t="s">
        <v>5392</v>
      </c>
      <c r="G150" s="1" t="s">
        <v>3900</v>
      </c>
      <c r="H150" s="1" t="s">
        <v>5393</v>
      </c>
      <c r="I150" s="1">
        <v>71</v>
      </c>
      <c r="J150" s="1">
        <v>45</v>
      </c>
      <c r="K150" s="1">
        <v>0</v>
      </c>
      <c r="L150" s="1">
        <v>0</v>
      </c>
      <c r="M150" s="1" t="s">
        <v>79</v>
      </c>
      <c r="N150" s="1" t="s">
        <v>80</v>
      </c>
      <c r="O150" s="1" t="s">
        <v>81</v>
      </c>
      <c r="P150" s="1" t="s">
        <v>5394</v>
      </c>
      <c r="Q150" s="1" t="s">
        <v>48</v>
      </c>
      <c r="R150" s="1">
        <v>12</v>
      </c>
      <c r="S150" s="1" t="s">
        <v>48</v>
      </c>
      <c r="T150" s="1" t="s">
        <v>5396</v>
      </c>
      <c r="U150" s="1" t="str">
        <f>HYPERLINK("http://dx.doi.org/10.1016/j.ceja.2022.100412","http://dx.doi.org/10.1016/j.ceja.2022.100412")</f>
        <v>http://dx.doi.org/10.1016/j.ceja.2022.100412</v>
      </c>
      <c r="V150" s="1">
        <v>18</v>
      </c>
      <c r="W150" s="1" t="s">
        <v>3357</v>
      </c>
      <c r="X150" s="1" t="s">
        <v>124</v>
      </c>
      <c r="Y150" s="1" t="s">
        <v>1733</v>
      </c>
      <c r="Z150" s="1" t="s">
        <v>48</v>
      </c>
      <c r="AA150" s="1" t="s">
        <v>125</v>
      </c>
    </row>
    <row r="151" spans="1:27" s="1" customFormat="1" ht="18.5" x14ac:dyDescent="0.45">
      <c r="A151" s="1" t="s">
        <v>5429</v>
      </c>
      <c r="B151" s="1" t="s">
        <v>5430</v>
      </c>
      <c r="C151" s="1" t="s">
        <v>5431</v>
      </c>
      <c r="D151" s="1" t="s">
        <v>53</v>
      </c>
      <c r="E151" s="2">
        <v>2022</v>
      </c>
      <c r="F151" s="1" t="s">
        <v>5432</v>
      </c>
      <c r="G151" s="1" t="s">
        <v>5433</v>
      </c>
      <c r="H151" s="1" t="s">
        <v>5434</v>
      </c>
      <c r="I151" s="1">
        <v>69</v>
      </c>
      <c r="J151" s="1">
        <v>6</v>
      </c>
      <c r="K151" s="1">
        <v>0</v>
      </c>
      <c r="L151" s="1">
        <v>0</v>
      </c>
      <c r="M151" s="1" t="s">
        <v>132</v>
      </c>
      <c r="N151" s="1" t="s">
        <v>133</v>
      </c>
      <c r="O151" s="1" t="s">
        <v>134</v>
      </c>
      <c r="P151" s="1" t="s">
        <v>48</v>
      </c>
      <c r="Q151" s="1" t="s">
        <v>5435</v>
      </c>
      <c r="R151" s="1">
        <v>12</v>
      </c>
      <c r="S151" s="1">
        <v>11</v>
      </c>
      <c r="T151" s="1" t="s">
        <v>5436</v>
      </c>
      <c r="U151" s="1" t="str">
        <f>HYPERLINK("http://dx.doi.org/10.3390/geosciences12110415","http://dx.doi.org/10.3390/geosciences12110415")</f>
        <v>http://dx.doi.org/10.3390/geosciences12110415</v>
      </c>
      <c r="V151" s="1">
        <v>26</v>
      </c>
      <c r="W151" s="1" t="s">
        <v>1670</v>
      </c>
      <c r="X151" s="1" t="s">
        <v>124</v>
      </c>
      <c r="Y151" s="1" t="s">
        <v>1671</v>
      </c>
      <c r="Z151" s="1" t="s">
        <v>48</v>
      </c>
      <c r="AA151" s="1" t="s">
        <v>366</v>
      </c>
    </row>
    <row r="152" spans="1:27" s="1" customFormat="1" ht="18.5" x14ac:dyDescent="0.45">
      <c r="A152" s="1" t="s">
        <v>5461</v>
      </c>
      <c r="B152" s="1" t="s">
        <v>5462</v>
      </c>
      <c r="C152" s="1" t="s">
        <v>1178</v>
      </c>
      <c r="D152" s="1" t="s">
        <v>111</v>
      </c>
      <c r="E152" s="2">
        <v>2022</v>
      </c>
      <c r="F152" s="1" t="s">
        <v>5463</v>
      </c>
      <c r="G152" s="1" t="s">
        <v>5464</v>
      </c>
      <c r="H152" s="1" t="s">
        <v>5465</v>
      </c>
      <c r="I152" s="1">
        <v>68</v>
      </c>
      <c r="J152" s="1">
        <v>20</v>
      </c>
      <c r="K152" s="1">
        <v>2</v>
      </c>
      <c r="L152" s="1">
        <v>12</v>
      </c>
      <c r="M152" s="1" t="s">
        <v>1183</v>
      </c>
      <c r="N152" s="1" t="s">
        <v>1184</v>
      </c>
      <c r="O152" s="1" t="s">
        <v>1185</v>
      </c>
      <c r="P152" s="1" t="s">
        <v>1186</v>
      </c>
      <c r="Q152" s="1" t="s">
        <v>1187</v>
      </c>
      <c r="R152" s="1" t="s">
        <v>48</v>
      </c>
      <c r="S152" s="1" t="s">
        <v>48</v>
      </c>
      <c r="T152" s="1" t="s">
        <v>5466</v>
      </c>
      <c r="U152" s="1" t="str">
        <f>HYPERLINK("http://dx.doi.org/10.1021/acs.langmuir.2c02490","http://dx.doi.org/10.1021/acs.langmuir.2c02490")</f>
        <v>http://dx.doi.org/10.1021/acs.langmuir.2c02490</v>
      </c>
      <c r="V152" s="1">
        <v>13</v>
      </c>
      <c r="W152" s="1" t="s">
        <v>1190</v>
      </c>
      <c r="X152" s="1" t="s">
        <v>67</v>
      </c>
      <c r="Y152" s="1" t="s">
        <v>1191</v>
      </c>
      <c r="Z152" s="1">
        <v>36301022</v>
      </c>
      <c r="AA152" s="1" t="s">
        <v>48</v>
      </c>
    </row>
    <row r="153" spans="1:27" s="1" customFormat="1" ht="18.5" x14ac:dyDescent="0.45">
      <c r="A153" s="1" t="s">
        <v>5467</v>
      </c>
      <c r="B153" s="1" t="s">
        <v>5468</v>
      </c>
      <c r="C153" s="1" t="s">
        <v>5469</v>
      </c>
      <c r="D153" s="1" t="s">
        <v>53</v>
      </c>
      <c r="E153" s="2">
        <v>2022</v>
      </c>
      <c r="F153" s="1" t="s">
        <v>5470</v>
      </c>
      <c r="G153" s="1" t="s">
        <v>3900</v>
      </c>
      <c r="H153" s="1" t="s">
        <v>3901</v>
      </c>
      <c r="I153" s="1">
        <v>82</v>
      </c>
      <c r="J153" s="1">
        <v>36</v>
      </c>
      <c r="K153" s="1">
        <v>0</v>
      </c>
      <c r="L153" s="1">
        <v>8</v>
      </c>
      <c r="M153" s="1" t="s">
        <v>79</v>
      </c>
      <c r="N153" s="1" t="s">
        <v>80</v>
      </c>
      <c r="O153" s="1" t="s">
        <v>81</v>
      </c>
      <c r="P153" s="1" t="s">
        <v>5471</v>
      </c>
      <c r="Q153" s="1" t="s">
        <v>5472</v>
      </c>
      <c r="R153" s="1">
        <v>793</v>
      </c>
      <c r="S153" s="1" t="s">
        <v>48</v>
      </c>
      <c r="T153" s="1" t="s">
        <v>5473</v>
      </c>
      <c r="U153" s="1" t="str">
        <f>HYPERLINK("http://dx.doi.org/10.1016/j.cplett.2022.139476","http://dx.doi.org/10.1016/j.cplett.2022.139476")</f>
        <v>http://dx.doi.org/10.1016/j.cplett.2022.139476</v>
      </c>
      <c r="V153" s="1">
        <v>21</v>
      </c>
      <c r="W153" s="1" t="s">
        <v>2595</v>
      </c>
      <c r="X153" s="1" t="s">
        <v>67</v>
      </c>
      <c r="Y153" s="1" t="s">
        <v>2596</v>
      </c>
      <c r="Z153" s="1" t="s">
        <v>48</v>
      </c>
      <c r="AA153" s="1" t="s">
        <v>48</v>
      </c>
    </row>
    <row r="154" spans="1:27" s="1" customFormat="1" ht="18.5" x14ac:dyDescent="0.45">
      <c r="A154" s="1" t="s">
        <v>5514</v>
      </c>
      <c r="B154" s="1" t="s">
        <v>5515</v>
      </c>
      <c r="C154" s="1" t="s">
        <v>5516</v>
      </c>
      <c r="D154" s="1" t="s">
        <v>1114</v>
      </c>
      <c r="E154" s="2">
        <v>2022</v>
      </c>
      <c r="F154" s="1" t="s">
        <v>5517</v>
      </c>
      <c r="G154" s="1" t="s">
        <v>5518</v>
      </c>
      <c r="H154" s="1" t="s">
        <v>5519</v>
      </c>
      <c r="I154" s="1">
        <v>71</v>
      </c>
      <c r="J154" s="1">
        <v>0</v>
      </c>
      <c r="K154" s="1">
        <v>1</v>
      </c>
      <c r="L154" s="1">
        <v>8</v>
      </c>
      <c r="M154" s="1" t="s">
        <v>5520</v>
      </c>
      <c r="N154" s="1" t="s">
        <v>632</v>
      </c>
      <c r="O154" s="1" t="s">
        <v>5521</v>
      </c>
      <c r="P154" s="1" t="s">
        <v>5522</v>
      </c>
      <c r="Q154" s="1" t="s">
        <v>5523</v>
      </c>
      <c r="R154" s="1">
        <v>14</v>
      </c>
      <c r="S154" s="1">
        <v>15</v>
      </c>
      <c r="T154" s="1" t="s">
        <v>5524</v>
      </c>
      <c r="U154" s="1" t="str">
        <f>HYPERLINK("http://dx.doi.org/10.2217/imt-2021-0329","http://dx.doi.org/10.2217/imt-2021-0329")</f>
        <v>http://dx.doi.org/10.2217/imt-2021-0329</v>
      </c>
      <c r="V154" s="1">
        <v>15</v>
      </c>
      <c r="W154" s="1" t="s">
        <v>4643</v>
      </c>
      <c r="X154" s="1" t="s">
        <v>67</v>
      </c>
      <c r="Y154" s="1" t="s">
        <v>4643</v>
      </c>
      <c r="Z154" s="1">
        <v>36004447</v>
      </c>
      <c r="AA154" s="1" t="s">
        <v>48</v>
      </c>
    </row>
    <row r="155" spans="1:27" s="1" customFormat="1" ht="18.5" x14ac:dyDescent="0.45">
      <c r="A155" s="1" t="s">
        <v>5525</v>
      </c>
      <c r="B155" s="1" t="s">
        <v>5526</v>
      </c>
      <c r="C155" s="1" t="s">
        <v>5527</v>
      </c>
      <c r="D155" s="1" t="s">
        <v>53</v>
      </c>
      <c r="E155" s="2">
        <v>2022</v>
      </c>
      <c r="F155" s="1" t="s">
        <v>5528</v>
      </c>
      <c r="G155" s="1" t="s">
        <v>5529</v>
      </c>
      <c r="H155" s="1" t="s">
        <v>5530</v>
      </c>
      <c r="I155" s="1">
        <v>57</v>
      </c>
      <c r="J155" s="1">
        <v>6</v>
      </c>
      <c r="K155" s="1">
        <v>0</v>
      </c>
      <c r="L155" s="1">
        <v>0</v>
      </c>
      <c r="M155" s="1" t="s">
        <v>252</v>
      </c>
      <c r="N155" s="1" t="s">
        <v>253</v>
      </c>
      <c r="O155" s="1" t="s">
        <v>254</v>
      </c>
      <c r="P155" s="1" t="s">
        <v>5531</v>
      </c>
      <c r="Q155" s="1" t="s">
        <v>5532</v>
      </c>
      <c r="R155" s="1">
        <v>33</v>
      </c>
      <c r="S155" s="1">
        <v>4</v>
      </c>
      <c r="T155" s="1" t="s">
        <v>5535</v>
      </c>
      <c r="U155" s="1" t="str">
        <f>HYPERLINK("http://dx.doi.org/10.1007/s13370-022-01031-7","http://dx.doi.org/10.1007/s13370-022-01031-7")</f>
        <v>http://dx.doi.org/10.1007/s13370-022-01031-7</v>
      </c>
      <c r="V155" s="1">
        <v>14</v>
      </c>
      <c r="W155" s="1" t="s">
        <v>137</v>
      </c>
      <c r="X155" s="1" t="s">
        <v>124</v>
      </c>
      <c r="Y155" s="1" t="s">
        <v>137</v>
      </c>
      <c r="Z155" s="1" t="s">
        <v>48</v>
      </c>
      <c r="AA155" s="1" t="s">
        <v>48</v>
      </c>
    </row>
    <row r="156" spans="1:27" s="1" customFormat="1" ht="18.5" x14ac:dyDescent="0.45">
      <c r="A156" s="1" t="s">
        <v>5536</v>
      </c>
      <c r="B156" s="1" t="s">
        <v>5537</v>
      </c>
      <c r="C156" s="1" t="s">
        <v>1520</v>
      </c>
      <c r="D156" s="1" t="s">
        <v>53</v>
      </c>
      <c r="E156" s="2">
        <v>2022</v>
      </c>
      <c r="F156" s="1" t="s">
        <v>5538</v>
      </c>
      <c r="G156" s="1" t="s">
        <v>5539</v>
      </c>
      <c r="H156" s="1" t="s">
        <v>2126</v>
      </c>
      <c r="I156" s="1">
        <v>39</v>
      </c>
      <c r="J156" s="1">
        <v>3</v>
      </c>
      <c r="K156" s="1">
        <v>0</v>
      </c>
      <c r="L156" s="1">
        <v>1</v>
      </c>
      <c r="M156" s="1" t="s">
        <v>1523</v>
      </c>
      <c r="N156" s="1" t="s">
        <v>632</v>
      </c>
      <c r="O156" s="1" t="s">
        <v>1524</v>
      </c>
      <c r="P156" s="1" t="s">
        <v>1525</v>
      </c>
      <c r="Q156" s="1" t="s">
        <v>1526</v>
      </c>
      <c r="R156" s="1">
        <v>2</v>
      </c>
      <c r="S156" s="1">
        <v>1</v>
      </c>
      <c r="T156" s="1" t="s">
        <v>5540</v>
      </c>
      <c r="U156" s="1" t="str">
        <f>HYPERLINK("http://dx.doi.org/10.1007/s43393-021-00046-8","http://dx.doi.org/10.1007/s43393-021-00046-8")</f>
        <v>http://dx.doi.org/10.1007/s43393-021-00046-8</v>
      </c>
      <c r="V156" s="1">
        <v>10</v>
      </c>
      <c r="W156" s="1" t="s">
        <v>1528</v>
      </c>
      <c r="X156" s="1" t="s">
        <v>124</v>
      </c>
      <c r="Y156" s="1" t="s">
        <v>1528</v>
      </c>
      <c r="Z156" s="1">
        <v>38624716</v>
      </c>
      <c r="AA156" s="1" t="s">
        <v>1016</v>
      </c>
    </row>
    <row r="157" spans="1:27" s="1" customFormat="1" ht="18.5" x14ac:dyDescent="0.45">
      <c r="A157" s="1" t="s">
        <v>5541</v>
      </c>
      <c r="B157" s="1" t="s">
        <v>5542</v>
      </c>
      <c r="C157" s="1" t="s">
        <v>4273</v>
      </c>
      <c r="D157" s="1" t="s">
        <v>53</v>
      </c>
      <c r="E157" s="2">
        <v>2022</v>
      </c>
      <c r="F157" s="1" t="s">
        <v>5543</v>
      </c>
      <c r="G157" s="1" t="s">
        <v>5544</v>
      </c>
      <c r="H157" s="1" t="s">
        <v>5545</v>
      </c>
      <c r="I157" s="1">
        <v>59</v>
      </c>
      <c r="J157" s="1">
        <v>21</v>
      </c>
      <c r="K157" s="1">
        <v>0</v>
      </c>
      <c r="L157" s="1">
        <v>10</v>
      </c>
      <c r="M157" s="1" t="s">
        <v>4276</v>
      </c>
      <c r="N157" s="1" t="s">
        <v>4277</v>
      </c>
      <c r="O157" s="1" t="s">
        <v>4278</v>
      </c>
      <c r="P157" s="1" t="s">
        <v>4279</v>
      </c>
      <c r="Q157" s="1" t="s">
        <v>48</v>
      </c>
      <c r="R157" s="1">
        <v>10</v>
      </c>
      <c r="S157" s="1" t="s">
        <v>48</v>
      </c>
      <c r="T157" s="1" t="s">
        <v>5546</v>
      </c>
      <c r="U157" s="1" t="str">
        <f>HYPERLINK("http://dx.doi.org/10.1109/ACCESS.2022.3202211","http://dx.doi.org/10.1109/ACCESS.2022.3202211")</f>
        <v>http://dx.doi.org/10.1109/ACCESS.2022.3202211</v>
      </c>
      <c r="V157" s="1">
        <v>21</v>
      </c>
      <c r="W157" s="1" t="s">
        <v>4281</v>
      </c>
      <c r="X157" s="1" t="s">
        <v>67</v>
      </c>
      <c r="Y157" s="1" t="s">
        <v>4282</v>
      </c>
      <c r="Z157" s="1" t="s">
        <v>48</v>
      </c>
      <c r="AA157" s="1" t="s">
        <v>125</v>
      </c>
    </row>
    <row r="158" spans="1:27" s="1" customFormat="1" ht="18.5" x14ac:dyDescent="0.45">
      <c r="A158" s="1" t="s">
        <v>5573</v>
      </c>
      <c r="B158" s="1" t="s">
        <v>5574</v>
      </c>
      <c r="C158" s="1" t="s">
        <v>1812</v>
      </c>
      <c r="D158" s="1" t="s">
        <v>53</v>
      </c>
      <c r="E158" s="2">
        <v>2022</v>
      </c>
      <c r="F158" s="1" t="s">
        <v>5575</v>
      </c>
      <c r="G158" s="1" t="s">
        <v>5576</v>
      </c>
      <c r="H158" s="1" t="s">
        <v>227</v>
      </c>
      <c r="I158" s="1">
        <v>35</v>
      </c>
      <c r="J158" s="1">
        <v>18</v>
      </c>
      <c r="K158" s="1">
        <v>0</v>
      </c>
      <c r="L158" s="1">
        <v>7</v>
      </c>
      <c r="M158" s="1" t="s">
        <v>503</v>
      </c>
      <c r="N158" s="1" t="s">
        <v>504</v>
      </c>
      <c r="O158" s="1" t="s">
        <v>505</v>
      </c>
      <c r="P158" s="1" t="s">
        <v>1814</v>
      </c>
      <c r="Q158" s="1" t="s">
        <v>1815</v>
      </c>
      <c r="R158" s="1">
        <v>26</v>
      </c>
      <c r="S158" s="1">
        <v>21</v>
      </c>
      <c r="T158" s="1" t="s">
        <v>5577</v>
      </c>
      <c r="U158" s="1" t="str">
        <f>HYPERLINK("http://dx.doi.org/10.1007/s00500-022-07442-9","http://dx.doi.org/10.1007/s00500-022-07442-9")</f>
        <v>http://dx.doi.org/10.1007/s00500-022-07442-9</v>
      </c>
      <c r="V158" s="1">
        <v>15</v>
      </c>
      <c r="W158" s="1" t="s">
        <v>1746</v>
      </c>
      <c r="X158" s="1" t="s">
        <v>67</v>
      </c>
      <c r="Y158" s="1" t="s">
        <v>292</v>
      </c>
      <c r="Z158" s="1" t="s">
        <v>48</v>
      </c>
      <c r="AA158" s="1" t="s">
        <v>48</v>
      </c>
    </row>
    <row r="159" spans="1:27" s="1" customFormat="1" ht="18.5" x14ac:dyDescent="0.45">
      <c r="A159" s="1" t="s">
        <v>5578</v>
      </c>
      <c r="B159" s="1" t="s">
        <v>5579</v>
      </c>
      <c r="C159" s="1" t="s">
        <v>513</v>
      </c>
      <c r="D159" s="1" t="s">
        <v>53</v>
      </c>
      <c r="E159" s="2">
        <v>2022</v>
      </c>
      <c r="F159" s="1" t="s">
        <v>5580</v>
      </c>
      <c r="G159" s="1" t="s">
        <v>3475</v>
      </c>
      <c r="H159" s="1" t="s">
        <v>5581</v>
      </c>
      <c r="I159" s="1">
        <v>21</v>
      </c>
      <c r="J159" s="1">
        <v>2</v>
      </c>
      <c r="K159" s="1">
        <v>0</v>
      </c>
      <c r="L159" s="1">
        <v>2</v>
      </c>
      <c r="M159" s="1" t="s">
        <v>517</v>
      </c>
      <c r="N159" s="1" t="s">
        <v>239</v>
      </c>
      <c r="O159" s="1" t="s">
        <v>518</v>
      </c>
      <c r="P159" s="1" t="s">
        <v>519</v>
      </c>
      <c r="Q159" s="1" t="s">
        <v>520</v>
      </c>
      <c r="R159" s="1">
        <v>60</v>
      </c>
      <c r="S159" s="1">
        <v>9</v>
      </c>
      <c r="T159" s="1" t="s">
        <v>5582</v>
      </c>
      <c r="U159" s="1" t="str">
        <f>HYPERLINK("http://dx.doi.org/10.56042/ijeb.v60i09.65133","http://dx.doi.org/10.56042/ijeb.v60i09.65133")</f>
        <v>http://dx.doi.org/10.56042/ijeb.v60i09.65133</v>
      </c>
      <c r="V159" s="1">
        <v>6</v>
      </c>
      <c r="W159" s="1" t="s">
        <v>522</v>
      </c>
      <c r="X159" s="1" t="s">
        <v>67</v>
      </c>
      <c r="Y159" s="1" t="s">
        <v>523</v>
      </c>
      <c r="Z159" s="1" t="s">
        <v>48</v>
      </c>
      <c r="AA159" s="1" t="s">
        <v>125</v>
      </c>
    </row>
    <row r="160" spans="1:27" s="1" customFormat="1" ht="18.5" x14ac:dyDescent="0.45">
      <c r="A160" s="1" t="s">
        <v>5583</v>
      </c>
      <c r="B160" s="1" t="s">
        <v>5584</v>
      </c>
      <c r="C160" s="1" t="s">
        <v>1931</v>
      </c>
      <c r="D160" s="1" t="s">
        <v>53</v>
      </c>
      <c r="E160" s="2">
        <v>2022</v>
      </c>
      <c r="F160" s="1" t="s">
        <v>5585</v>
      </c>
      <c r="G160" s="1" t="s">
        <v>5586</v>
      </c>
      <c r="H160" s="1" t="s">
        <v>227</v>
      </c>
      <c r="I160" s="1">
        <v>63</v>
      </c>
      <c r="J160" s="1">
        <v>51</v>
      </c>
      <c r="K160" s="1">
        <v>8</v>
      </c>
      <c r="L160" s="1">
        <v>21</v>
      </c>
      <c r="M160" s="1" t="s">
        <v>252</v>
      </c>
      <c r="N160" s="1" t="s">
        <v>253</v>
      </c>
      <c r="O160" s="1" t="s">
        <v>254</v>
      </c>
      <c r="P160" s="1" t="s">
        <v>1932</v>
      </c>
      <c r="Q160" s="1" t="s">
        <v>1933</v>
      </c>
      <c r="R160" s="1">
        <v>8</v>
      </c>
      <c r="S160" s="1">
        <v>5</v>
      </c>
      <c r="T160" s="1" t="s">
        <v>5587</v>
      </c>
      <c r="U160" s="1" t="str">
        <f>HYPERLINK("http://dx.doi.org/10.1007/s40747-022-00686-w","http://dx.doi.org/10.1007/s40747-022-00686-w")</f>
        <v>http://dx.doi.org/10.1007/s40747-022-00686-w</v>
      </c>
      <c r="V160" s="1">
        <v>29</v>
      </c>
      <c r="W160" s="1" t="s">
        <v>549</v>
      </c>
      <c r="X160" s="1" t="s">
        <v>67</v>
      </c>
      <c r="Y160" s="1" t="s">
        <v>292</v>
      </c>
      <c r="Z160" s="1" t="s">
        <v>48</v>
      </c>
      <c r="AA160" s="1" t="s">
        <v>125</v>
      </c>
    </row>
    <row r="161" spans="1:27" s="1" customFormat="1" ht="18.5" x14ac:dyDescent="0.45">
      <c r="A161" s="1" t="s">
        <v>5617</v>
      </c>
      <c r="B161" s="1" t="s">
        <v>5618</v>
      </c>
      <c r="C161" s="1" t="s">
        <v>5619</v>
      </c>
      <c r="D161" s="1" t="s">
        <v>53</v>
      </c>
      <c r="E161" s="2">
        <v>2022</v>
      </c>
      <c r="F161" s="1" t="s">
        <v>5620</v>
      </c>
      <c r="G161" s="1" t="s">
        <v>5621</v>
      </c>
      <c r="H161" s="1" t="s">
        <v>5622</v>
      </c>
      <c r="I161" s="1">
        <v>38</v>
      </c>
      <c r="J161" s="1">
        <v>0</v>
      </c>
      <c r="K161" s="1">
        <v>1</v>
      </c>
      <c r="L161" s="1">
        <v>4</v>
      </c>
      <c r="M161" s="1" t="s">
        <v>503</v>
      </c>
      <c r="N161" s="1" t="s">
        <v>542</v>
      </c>
      <c r="O161" s="1" t="s">
        <v>543</v>
      </c>
      <c r="P161" s="1" t="s">
        <v>5623</v>
      </c>
      <c r="Q161" s="1" t="s">
        <v>5624</v>
      </c>
      <c r="R161" s="1">
        <v>49</v>
      </c>
      <c r="S161" s="1">
        <v>9</v>
      </c>
      <c r="T161" s="1" t="s">
        <v>5625</v>
      </c>
      <c r="U161" s="1" t="str">
        <f>HYPERLINK("http://dx.doi.org/10.1007/s11033-022-07653-1","http://dx.doi.org/10.1007/s11033-022-07653-1")</f>
        <v>http://dx.doi.org/10.1007/s11033-022-07653-1</v>
      </c>
      <c r="V161" s="1">
        <v>12</v>
      </c>
      <c r="W161" s="1" t="s">
        <v>5596</v>
      </c>
      <c r="X161" s="1" t="s">
        <v>67</v>
      </c>
      <c r="Y161" s="1" t="s">
        <v>5596</v>
      </c>
      <c r="Z161" s="1">
        <v>35713797</v>
      </c>
      <c r="AA161" s="1" t="s">
        <v>48</v>
      </c>
    </row>
    <row r="162" spans="1:27" s="1" customFormat="1" ht="18.5" x14ac:dyDescent="0.45">
      <c r="A162" s="1" t="s">
        <v>5649</v>
      </c>
      <c r="B162" s="1" t="s">
        <v>5650</v>
      </c>
      <c r="C162" s="1" t="s">
        <v>4553</v>
      </c>
      <c r="D162" s="1" t="s">
        <v>53</v>
      </c>
      <c r="E162" s="2">
        <v>2022</v>
      </c>
      <c r="F162" s="1" t="s">
        <v>5651</v>
      </c>
      <c r="G162" s="1" t="s">
        <v>5652</v>
      </c>
      <c r="H162" s="1" t="s">
        <v>5653</v>
      </c>
      <c r="I162" s="1">
        <v>16</v>
      </c>
      <c r="J162" s="1">
        <v>2</v>
      </c>
      <c r="K162" s="1">
        <v>0</v>
      </c>
      <c r="L162" s="1">
        <v>0</v>
      </c>
      <c r="M162" s="1" t="s">
        <v>347</v>
      </c>
      <c r="N162" s="1" t="s">
        <v>348</v>
      </c>
      <c r="O162" s="1" t="s">
        <v>349</v>
      </c>
      <c r="P162" s="1" t="s">
        <v>4557</v>
      </c>
      <c r="Q162" s="1" t="s">
        <v>4558</v>
      </c>
      <c r="R162" s="1">
        <v>2022</v>
      </c>
      <c r="S162" s="1" t="s">
        <v>48</v>
      </c>
      <c r="T162" s="1" t="s">
        <v>5654</v>
      </c>
      <c r="U162" s="1" t="str">
        <f>HYPERLINK("http://dx.doi.org/10.1155/2022/1618498","http://dx.doi.org/10.1155/2022/1618498")</f>
        <v>http://dx.doi.org/10.1155/2022/1618498</v>
      </c>
      <c r="V162" s="1">
        <v>7</v>
      </c>
      <c r="W162" s="1" t="s">
        <v>137</v>
      </c>
      <c r="X162" s="1" t="s">
        <v>67</v>
      </c>
      <c r="Y162" s="1" t="s">
        <v>137</v>
      </c>
      <c r="Z162" s="1" t="s">
        <v>48</v>
      </c>
      <c r="AA162" s="1" t="s">
        <v>125</v>
      </c>
    </row>
    <row r="163" spans="1:27" s="1" customFormat="1" ht="18.5" x14ac:dyDescent="0.45">
      <c r="A163" s="1" t="s">
        <v>5665</v>
      </c>
      <c r="B163" s="1" t="s">
        <v>5666</v>
      </c>
      <c r="C163" s="1" t="s">
        <v>5667</v>
      </c>
      <c r="D163" s="1" t="s">
        <v>53</v>
      </c>
      <c r="E163" s="2">
        <v>2022</v>
      </c>
      <c r="F163" s="1" t="s">
        <v>5668</v>
      </c>
      <c r="G163" s="1" t="s">
        <v>5669</v>
      </c>
      <c r="H163" s="1" t="s">
        <v>5670</v>
      </c>
      <c r="I163" s="1">
        <v>63</v>
      </c>
      <c r="J163" s="1">
        <v>3</v>
      </c>
      <c r="K163" s="1">
        <v>0</v>
      </c>
      <c r="L163" s="1">
        <v>8</v>
      </c>
      <c r="M163" s="1" t="s">
        <v>503</v>
      </c>
      <c r="N163" s="1" t="s">
        <v>542</v>
      </c>
      <c r="O163" s="1" t="s">
        <v>543</v>
      </c>
      <c r="P163" s="1" t="s">
        <v>5671</v>
      </c>
      <c r="Q163" s="1" t="s">
        <v>5672</v>
      </c>
      <c r="R163" s="1">
        <v>29</v>
      </c>
      <c r="S163" s="1">
        <v>1</v>
      </c>
      <c r="T163" s="1" t="s">
        <v>5675</v>
      </c>
      <c r="U163" s="1" t="str">
        <f>HYPERLINK("http://dx.doi.org/10.1007/s10989-022-10475-1","http://dx.doi.org/10.1007/s10989-022-10475-1")</f>
        <v>http://dx.doi.org/10.1007/s10989-022-10475-1</v>
      </c>
      <c r="V163" s="1">
        <v>17</v>
      </c>
      <c r="W163" s="1" t="s">
        <v>5596</v>
      </c>
      <c r="X163" s="1" t="s">
        <v>67</v>
      </c>
      <c r="Y163" s="1" t="s">
        <v>5596</v>
      </c>
      <c r="Z163" s="1">
        <v>36532362</v>
      </c>
      <c r="AA163" s="1" t="s">
        <v>1016</v>
      </c>
    </row>
    <row r="164" spans="1:27" s="1" customFormat="1" ht="18.5" x14ac:dyDescent="0.45">
      <c r="A164" s="1" t="s">
        <v>5777</v>
      </c>
      <c r="B164" s="1" t="s">
        <v>5778</v>
      </c>
      <c r="C164" s="1" t="s">
        <v>5779</v>
      </c>
      <c r="D164" s="1" t="s">
        <v>53</v>
      </c>
      <c r="E164" s="2">
        <v>2022</v>
      </c>
      <c r="F164" s="1" t="s">
        <v>5780</v>
      </c>
      <c r="G164" s="1" t="s">
        <v>5781</v>
      </c>
      <c r="H164" s="1" t="s">
        <v>5782</v>
      </c>
      <c r="I164" s="1">
        <v>39</v>
      </c>
      <c r="J164" s="1">
        <v>9</v>
      </c>
      <c r="K164" s="1">
        <v>5</v>
      </c>
      <c r="L164" s="1">
        <v>30</v>
      </c>
      <c r="M164" s="1" t="s">
        <v>5783</v>
      </c>
      <c r="N164" s="1" t="s">
        <v>632</v>
      </c>
      <c r="O164" s="1" t="s">
        <v>5784</v>
      </c>
      <c r="P164" s="1" t="s">
        <v>5785</v>
      </c>
      <c r="Q164" s="1" t="s">
        <v>5786</v>
      </c>
      <c r="R164" s="1">
        <v>2022</v>
      </c>
      <c r="S164" s="1" t="s">
        <v>48</v>
      </c>
      <c r="T164" s="1" t="s">
        <v>5787</v>
      </c>
      <c r="U164" s="1" t="str">
        <f>HYPERLINK("http://dx.doi.org/10.1155/2022/3997396","http://dx.doi.org/10.1155/2022/3997396")</f>
        <v>http://dx.doi.org/10.1155/2022/3997396</v>
      </c>
      <c r="V164" s="1">
        <v>14</v>
      </c>
      <c r="W164" s="1" t="s">
        <v>5788</v>
      </c>
      <c r="X164" s="1" t="s">
        <v>67</v>
      </c>
      <c r="Y164" s="1" t="s">
        <v>5789</v>
      </c>
      <c r="Z164" s="1" t="s">
        <v>48</v>
      </c>
      <c r="AA164" s="1" t="s">
        <v>125</v>
      </c>
    </row>
    <row r="165" spans="1:27" s="1" customFormat="1" ht="18.5" x14ac:dyDescent="0.45">
      <c r="A165" s="1" t="s">
        <v>5626</v>
      </c>
      <c r="B165" s="1" t="s">
        <v>5807</v>
      </c>
      <c r="C165" s="1" t="s">
        <v>5628</v>
      </c>
      <c r="D165" s="1" t="s">
        <v>53</v>
      </c>
      <c r="E165" s="2">
        <v>2022</v>
      </c>
      <c r="F165" s="1" t="s">
        <v>5808</v>
      </c>
      <c r="G165" s="1" t="s">
        <v>3900</v>
      </c>
      <c r="H165" s="1" t="s">
        <v>3901</v>
      </c>
      <c r="I165" s="1">
        <v>46</v>
      </c>
      <c r="J165" s="1">
        <v>11</v>
      </c>
      <c r="K165" s="1">
        <v>0</v>
      </c>
      <c r="L165" s="1">
        <v>2</v>
      </c>
      <c r="M165" s="1" t="s">
        <v>347</v>
      </c>
      <c r="N165" s="1" t="s">
        <v>348</v>
      </c>
      <c r="O165" s="1" t="s">
        <v>5631</v>
      </c>
      <c r="P165" s="1" t="s">
        <v>5632</v>
      </c>
      <c r="Q165" s="1" t="s">
        <v>5633</v>
      </c>
      <c r="R165" s="1">
        <v>51</v>
      </c>
      <c r="S165" s="1">
        <v>6</v>
      </c>
      <c r="T165" s="1" t="s">
        <v>5809</v>
      </c>
      <c r="U165" s="1" t="str">
        <f>HYPERLINK("http://dx.doi.org/10.1002/htj.22545","http://dx.doi.org/10.1002/htj.22545")</f>
        <v>http://dx.doi.org/10.1002/htj.22545</v>
      </c>
      <c r="V165" s="1">
        <v>34</v>
      </c>
      <c r="W165" s="1" t="s">
        <v>5635</v>
      </c>
      <c r="X165" s="1" t="s">
        <v>124</v>
      </c>
      <c r="Y165" s="1" t="s">
        <v>5635</v>
      </c>
      <c r="Z165" s="1" t="s">
        <v>48</v>
      </c>
      <c r="AA165" s="1" t="s">
        <v>48</v>
      </c>
    </row>
    <row r="166" spans="1:27" s="1" customFormat="1" ht="18.5" x14ac:dyDescent="0.45">
      <c r="A166" s="1" t="s">
        <v>5849</v>
      </c>
      <c r="B166" s="1" t="s">
        <v>5850</v>
      </c>
      <c r="C166" s="1" t="s">
        <v>4273</v>
      </c>
      <c r="D166" s="1" t="s">
        <v>53</v>
      </c>
      <c r="E166" s="2">
        <v>2022</v>
      </c>
      <c r="F166" s="1" t="s">
        <v>5851</v>
      </c>
      <c r="G166" s="1" t="s">
        <v>5852</v>
      </c>
      <c r="H166" s="1" t="s">
        <v>5853</v>
      </c>
      <c r="I166" s="1">
        <v>18</v>
      </c>
      <c r="J166" s="1">
        <v>4</v>
      </c>
      <c r="K166" s="1">
        <v>0</v>
      </c>
      <c r="L166" s="1">
        <v>5</v>
      </c>
      <c r="M166" s="1" t="s">
        <v>4276</v>
      </c>
      <c r="N166" s="1" t="s">
        <v>4277</v>
      </c>
      <c r="O166" s="1" t="s">
        <v>4278</v>
      </c>
      <c r="P166" s="1" t="s">
        <v>4279</v>
      </c>
      <c r="Q166" s="1" t="s">
        <v>48</v>
      </c>
      <c r="R166" s="1">
        <v>10</v>
      </c>
      <c r="S166" s="1" t="s">
        <v>48</v>
      </c>
      <c r="T166" s="1" t="s">
        <v>5854</v>
      </c>
      <c r="U166" s="1" t="str">
        <f>HYPERLINK("http://dx.doi.org/10.1109/ACCESS.2022.3145376","http://dx.doi.org/10.1109/ACCESS.2022.3145376")</f>
        <v>http://dx.doi.org/10.1109/ACCESS.2022.3145376</v>
      </c>
      <c r="V166" s="1">
        <v>9</v>
      </c>
      <c r="W166" s="1" t="s">
        <v>4281</v>
      </c>
      <c r="X166" s="1" t="s">
        <v>67</v>
      </c>
      <c r="Y166" s="1" t="s">
        <v>4282</v>
      </c>
      <c r="Z166" s="1" t="s">
        <v>48</v>
      </c>
      <c r="AA166" s="1" t="s">
        <v>125</v>
      </c>
    </row>
    <row r="167" spans="1:27" s="1" customFormat="1" ht="18.5" x14ac:dyDescent="0.45">
      <c r="A167" s="1" t="s">
        <v>5935</v>
      </c>
      <c r="B167" s="1" t="s">
        <v>5936</v>
      </c>
      <c r="C167" s="1" t="s">
        <v>2857</v>
      </c>
      <c r="D167" s="1" t="s">
        <v>53</v>
      </c>
      <c r="E167" s="2">
        <v>2022</v>
      </c>
      <c r="F167" s="1" t="s">
        <v>5937</v>
      </c>
      <c r="G167" s="1" t="s">
        <v>4639</v>
      </c>
      <c r="H167" s="1" t="s">
        <v>5938</v>
      </c>
      <c r="I167" s="1">
        <v>77</v>
      </c>
      <c r="J167" s="1">
        <v>3</v>
      </c>
      <c r="K167" s="1">
        <v>0</v>
      </c>
      <c r="L167" s="1">
        <v>11</v>
      </c>
      <c r="M167" s="1" t="s">
        <v>1407</v>
      </c>
      <c r="N167" s="1" t="s">
        <v>632</v>
      </c>
      <c r="O167" s="1" t="s">
        <v>1408</v>
      </c>
      <c r="P167" s="1" t="s">
        <v>2863</v>
      </c>
      <c r="Q167" s="1" t="s">
        <v>2864</v>
      </c>
      <c r="R167" s="1">
        <v>164</v>
      </c>
      <c r="S167" s="1" t="s">
        <v>48</v>
      </c>
      <c r="T167" s="1" t="s">
        <v>5939</v>
      </c>
      <c r="U167" s="1" t="str">
        <f>HYPERLINK("http://dx.doi.org/10.1016/j.micpath.2022.105436","http://dx.doi.org/10.1016/j.micpath.2022.105436")</f>
        <v>http://dx.doi.org/10.1016/j.micpath.2022.105436</v>
      </c>
      <c r="V167" s="1">
        <v>9</v>
      </c>
      <c r="W167" s="1" t="s">
        <v>2866</v>
      </c>
      <c r="X167" s="1" t="s">
        <v>67</v>
      </c>
      <c r="Y167" s="1" t="s">
        <v>2866</v>
      </c>
      <c r="Z167" s="1">
        <v>35121070</v>
      </c>
      <c r="AA167" s="1" t="s">
        <v>48</v>
      </c>
    </row>
    <row r="168" spans="1:27" s="1" customFormat="1" ht="18.5" x14ac:dyDescent="0.45">
      <c r="A168" s="1" t="s">
        <v>4994</v>
      </c>
      <c r="B168" s="1" t="s">
        <v>5971</v>
      </c>
      <c r="C168" s="1" t="s">
        <v>5972</v>
      </c>
      <c r="D168" s="1" t="s">
        <v>53</v>
      </c>
      <c r="E168" s="2">
        <v>2022</v>
      </c>
      <c r="F168" s="1" t="s">
        <v>5973</v>
      </c>
      <c r="G168" s="1" t="s">
        <v>4998</v>
      </c>
      <c r="H168" s="1" t="s">
        <v>5974</v>
      </c>
      <c r="I168" s="1">
        <v>72</v>
      </c>
      <c r="J168" s="1">
        <v>6</v>
      </c>
      <c r="K168" s="1">
        <v>3</v>
      </c>
      <c r="L168" s="1">
        <v>9</v>
      </c>
      <c r="M168" s="1" t="s">
        <v>132</v>
      </c>
      <c r="N168" s="1" t="s">
        <v>133</v>
      </c>
      <c r="O168" s="1" t="s">
        <v>134</v>
      </c>
      <c r="P168" s="1" t="s">
        <v>48</v>
      </c>
      <c r="Q168" s="1" t="s">
        <v>5975</v>
      </c>
      <c r="R168" s="1">
        <v>14</v>
      </c>
      <c r="S168" s="1">
        <v>15</v>
      </c>
      <c r="T168" s="1" t="s">
        <v>5976</v>
      </c>
      <c r="U168" s="1" t="str">
        <f>HYPERLINK("http://dx.doi.org/10.3390/su14159283","http://dx.doi.org/10.3390/su14159283")</f>
        <v>http://dx.doi.org/10.3390/su14159283</v>
      </c>
      <c r="V168" s="1">
        <v>18</v>
      </c>
      <c r="W168" s="1" t="s">
        <v>5977</v>
      </c>
      <c r="X168" s="1" t="s">
        <v>944</v>
      </c>
      <c r="Y168" s="1" t="s">
        <v>723</v>
      </c>
      <c r="Z168" s="1" t="s">
        <v>48</v>
      </c>
      <c r="AA168" s="1" t="s">
        <v>366</v>
      </c>
    </row>
    <row r="169" spans="1:27" s="1" customFormat="1" ht="18.5" x14ac:dyDescent="0.45">
      <c r="A169" s="1" t="s">
        <v>6002</v>
      </c>
      <c r="B169" s="1" t="s">
        <v>6003</v>
      </c>
      <c r="C169" s="1" t="s">
        <v>6004</v>
      </c>
      <c r="D169" s="1" t="s">
        <v>53</v>
      </c>
      <c r="E169" s="2">
        <v>2022</v>
      </c>
      <c r="F169" s="1" t="s">
        <v>6005</v>
      </c>
      <c r="G169" s="1" t="s">
        <v>6006</v>
      </c>
      <c r="H169" s="1" t="s">
        <v>6007</v>
      </c>
      <c r="I169" s="1">
        <v>46</v>
      </c>
      <c r="J169" s="1">
        <v>0</v>
      </c>
      <c r="K169" s="1">
        <v>0</v>
      </c>
      <c r="L169" s="1">
        <v>1</v>
      </c>
      <c r="M169" s="1" t="s">
        <v>2360</v>
      </c>
      <c r="N169" s="1" t="s">
        <v>2361</v>
      </c>
      <c r="O169" s="1" t="s">
        <v>2362</v>
      </c>
      <c r="P169" s="1" t="s">
        <v>6008</v>
      </c>
      <c r="Q169" s="1" t="s">
        <v>6009</v>
      </c>
      <c r="R169" s="1">
        <v>17</v>
      </c>
      <c r="S169" s="1">
        <v>4</v>
      </c>
      <c r="T169" s="1" t="s">
        <v>6010</v>
      </c>
      <c r="U169" s="1" t="str">
        <f>HYPERLINK("http://dx.doi.org/10.2174/1574885517666220512165130","http://dx.doi.org/10.2174/1574885517666220512165130")</f>
        <v>http://dx.doi.org/10.2174/1574885517666220512165130</v>
      </c>
      <c r="V169" s="1">
        <v>11</v>
      </c>
      <c r="W169" s="1" t="s">
        <v>1324</v>
      </c>
      <c r="X169" s="1" t="s">
        <v>124</v>
      </c>
      <c r="Y169" s="1" t="s">
        <v>1324</v>
      </c>
      <c r="Z169" s="1" t="s">
        <v>48</v>
      </c>
      <c r="AA169" s="1" t="s">
        <v>48</v>
      </c>
    </row>
    <row r="170" spans="1:27" s="1" customFormat="1" ht="18.5" x14ac:dyDescent="0.45">
      <c r="A170" s="1" t="s">
        <v>6044</v>
      </c>
      <c r="B170" s="1" t="s">
        <v>6045</v>
      </c>
      <c r="C170" s="1" t="s">
        <v>1660</v>
      </c>
      <c r="D170" s="1" t="s">
        <v>53</v>
      </c>
      <c r="E170" s="2">
        <v>2022</v>
      </c>
      <c r="F170" s="1" t="s">
        <v>6046</v>
      </c>
      <c r="G170" s="1" t="s">
        <v>6047</v>
      </c>
      <c r="H170" s="1" t="s">
        <v>6048</v>
      </c>
      <c r="I170" s="1">
        <v>38</v>
      </c>
      <c r="J170" s="1">
        <v>4</v>
      </c>
      <c r="K170" s="1">
        <v>1</v>
      </c>
      <c r="L170" s="1">
        <v>9</v>
      </c>
      <c r="M170" s="1" t="s">
        <v>803</v>
      </c>
      <c r="N170" s="1" t="s">
        <v>239</v>
      </c>
      <c r="O170" s="1" t="s">
        <v>804</v>
      </c>
      <c r="P170" s="1" t="s">
        <v>1665</v>
      </c>
      <c r="Q170" s="1" t="s">
        <v>1666</v>
      </c>
      <c r="R170" s="1">
        <v>98</v>
      </c>
      <c r="S170" s="1">
        <v>3</v>
      </c>
      <c r="T170" s="1" t="s">
        <v>6049</v>
      </c>
      <c r="U170" s="1" t="str">
        <f>HYPERLINK("http://dx.doi.org/10.1007/s12594-022-1990-5","http://dx.doi.org/10.1007/s12594-022-1990-5")</f>
        <v>http://dx.doi.org/10.1007/s12594-022-1990-5</v>
      </c>
      <c r="V170" s="1">
        <v>8</v>
      </c>
      <c r="W170" s="1" t="s">
        <v>1670</v>
      </c>
      <c r="X170" s="1" t="s">
        <v>67</v>
      </c>
      <c r="Y170" s="1" t="s">
        <v>1671</v>
      </c>
      <c r="Z170" s="1" t="s">
        <v>48</v>
      </c>
      <c r="AA170" s="1" t="s">
        <v>48</v>
      </c>
    </row>
    <row r="171" spans="1:27" s="1" customFormat="1" ht="18.5" x14ac:dyDescent="0.45">
      <c r="A171" s="1" t="s">
        <v>6061</v>
      </c>
      <c r="B171" s="1" t="s">
        <v>6062</v>
      </c>
      <c r="C171" s="1" t="s">
        <v>2174</v>
      </c>
      <c r="D171" s="1" t="s">
        <v>53</v>
      </c>
      <c r="E171" s="2">
        <v>2022</v>
      </c>
      <c r="F171" s="1" t="s">
        <v>6063</v>
      </c>
      <c r="G171" s="1" t="s">
        <v>6064</v>
      </c>
      <c r="H171" s="1" t="s">
        <v>131</v>
      </c>
      <c r="I171" s="1">
        <v>30</v>
      </c>
      <c r="J171" s="1">
        <v>1</v>
      </c>
      <c r="K171" s="1">
        <v>0</v>
      </c>
      <c r="L171" s="1">
        <v>3</v>
      </c>
      <c r="M171" s="1" t="s">
        <v>2178</v>
      </c>
      <c r="N171" s="1" t="s">
        <v>2179</v>
      </c>
      <c r="O171" s="1" t="s">
        <v>2180</v>
      </c>
      <c r="P171" s="1" t="s">
        <v>2181</v>
      </c>
      <c r="Q171" s="1" t="s">
        <v>2182</v>
      </c>
      <c r="R171" s="1">
        <v>92</v>
      </c>
      <c r="S171" s="1">
        <v>3</v>
      </c>
      <c r="T171" s="1" t="s">
        <v>6065</v>
      </c>
      <c r="U171" s="1" t="str">
        <f>HYPERLINK("http://dx.doi.org/10.1007/s40010-022-00769-w","http://dx.doi.org/10.1007/s40010-022-00769-w")</f>
        <v>http://dx.doi.org/10.1007/s40010-022-00769-w</v>
      </c>
      <c r="V171" s="1">
        <v>17</v>
      </c>
      <c r="W171" s="1" t="s">
        <v>335</v>
      </c>
      <c r="X171" s="1" t="s">
        <v>67</v>
      </c>
      <c r="Y171" s="1" t="s">
        <v>336</v>
      </c>
      <c r="Z171" s="1" t="s">
        <v>48</v>
      </c>
      <c r="AA171" s="1" t="s">
        <v>48</v>
      </c>
    </row>
    <row r="172" spans="1:27" s="1" customFormat="1" ht="18.5" x14ac:dyDescent="0.45">
      <c r="A172" s="1" t="s">
        <v>6066</v>
      </c>
      <c r="B172" s="1" t="s">
        <v>6067</v>
      </c>
      <c r="C172" s="1" t="s">
        <v>6068</v>
      </c>
      <c r="D172" s="1" t="s">
        <v>53</v>
      </c>
      <c r="E172" s="2">
        <v>2022</v>
      </c>
      <c r="F172" s="1" t="s">
        <v>6069</v>
      </c>
      <c r="G172" s="1" t="s">
        <v>6070</v>
      </c>
      <c r="H172" s="1" t="s">
        <v>6071</v>
      </c>
      <c r="I172" s="1">
        <v>73</v>
      </c>
      <c r="J172" s="1">
        <v>7</v>
      </c>
      <c r="K172" s="1">
        <v>0</v>
      </c>
      <c r="L172" s="1">
        <v>0</v>
      </c>
      <c r="M172" s="1" t="s">
        <v>503</v>
      </c>
      <c r="N172" s="1" t="s">
        <v>504</v>
      </c>
      <c r="O172" s="1" t="s">
        <v>505</v>
      </c>
      <c r="P172" s="1" t="s">
        <v>6072</v>
      </c>
      <c r="Q172" s="1" t="s">
        <v>6073</v>
      </c>
      <c r="R172" s="1">
        <v>82</v>
      </c>
      <c r="S172" s="1">
        <v>3</v>
      </c>
      <c r="T172" s="1" t="s">
        <v>6074</v>
      </c>
      <c r="U172" s="1" t="str">
        <f>HYPERLINK("http://dx.doi.org/10.1140/epjc/s10052-022-10185-4","http://dx.doi.org/10.1140/epjc/s10052-022-10185-4")</f>
        <v>http://dx.doi.org/10.1140/epjc/s10052-022-10185-4</v>
      </c>
      <c r="V172" s="1">
        <v>9</v>
      </c>
      <c r="W172" s="1" t="s">
        <v>3673</v>
      </c>
      <c r="X172" s="1" t="s">
        <v>67</v>
      </c>
      <c r="Y172" s="1" t="s">
        <v>670</v>
      </c>
      <c r="Z172" s="1" t="s">
        <v>48</v>
      </c>
      <c r="AA172" s="1" t="s">
        <v>125</v>
      </c>
    </row>
    <row r="173" spans="1:27" s="1" customFormat="1" ht="18.5" x14ac:dyDescent="0.45">
      <c r="A173" s="1" t="s">
        <v>6138</v>
      </c>
      <c r="B173" s="1" t="s">
        <v>6139</v>
      </c>
      <c r="C173" s="1" t="s">
        <v>2702</v>
      </c>
      <c r="D173" s="1" t="s">
        <v>111</v>
      </c>
      <c r="E173" s="2">
        <v>2022</v>
      </c>
      <c r="F173" s="1" t="s">
        <v>6140</v>
      </c>
      <c r="G173" s="1" t="s">
        <v>4852</v>
      </c>
      <c r="H173" s="1" t="s">
        <v>6141</v>
      </c>
      <c r="I173" s="1">
        <v>88</v>
      </c>
      <c r="J173" s="1">
        <v>9</v>
      </c>
      <c r="K173" s="1">
        <v>1</v>
      </c>
      <c r="L173" s="1">
        <v>9</v>
      </c>
      <c r="M173" s="1" t="s">
        <v>1183</v>
      </c>
      <c r="N173" s="1" t="s">
        <v>1184</v>
      </c>
      <c r="O173" s="1" t="s">
        <v>1185</v>
      </c>
      <c r="P173" s="1" t="s">
        <v>2707</v>
      </c>
      <c r="Q173" s="1" t="s">
        <v>48</v>
      </c>
      <c r="R173" s="1" t="s">
        <v>48</v>
      </c>
      <c r="S173" s="1" t="s">
        <v>48</v>
      </c>
      <c r="T173" s="1" t="s">
        <v>6142</v>
      </c>
      <c r="U173" s="1" t="str">
        <f>HYPERLINK("http://dx.doi.org/10.1021/acsomega.2c05989","http://dx.doi.org/10.1021/acsomega.2c05989")</f>
        <v>http://dx.doi.org/10.1021/acsomega.2c05989</v>
      </c>
      <c r="V173" s="1">
        <v>16</v>
      </c>
      <c r="W173" s="1" t="s">
        <v>2292</v>
      </c>
      <c r="X173" s="1" t="s">
        <v>67</v>
      </c>
      <c r="Y173" s="1" t="s">
        <v>2293</v>
      </c>
      <c r="Z173" s="1">
        <v>36591115</v>
      </c>
      <c r="AA173" s="1" t="s">
        <v>337</v>
      </c>
    </row>
    <row r="174" spans="1:27" s="1" customFormat="1" ht="18.5" x14ac:dyDescent="0.45">
      <c r="A174" s="1" t="s">
        <v>6143</v>
      </c>
      <c r="B174" s="1" t="s">
        <v>6144</v>
      </c>
      <c r="C174" s="1" t="s">
        <v>6145</v>
      </c>
      <c r="D174" s="1" t="s">
        <v>53</v>
      </c>
      <c r="E174" s="2">
        <v>2022</v>
      </c>
      <c r="F174" s="1" t="s">
        <v>6146</v>
      </c>
      <c r="G174" s="1" t="s">
        <v>6147</v>
      </c>
      <c r="H174" s="1" t="s">
        <v>6148</v>
      </c>
      <c r="I174" s="1">
        <v>44</v>
      </c>
      <c r="J174" s="1">
        <v>6</v>
      </c>
      <c r="K174" s="1">
        <v>5</v>
      </c>
      <c r="L174" s="1">
        <v>48</v>
      </c>
      <c r="M174" s="1" t="s">
        <v>132</v>
      </c>
      <c r="N174" s="1" t="s">
        <v>133</v>
      </c>
      <c r="O174" s="1" t="s">
        <v>134</v>
      </c>
      <c r="P174" s="1" t="s">
        <v>48</v>
      </c>
      <c r="Q174" s="1" t="s">
        <v>6149</v>
      </c>
      <c r="R174" s="1">
        <v>10</v>
      </c>
      <c r="S174" s="1">
        <v>1</v>
      </c>
      <c r="T174" s="1" t="s">
        <v>6150</v>
      </c>
      <c r="U174" s="1" t="str">
        <f>HYPERLINK("http://dx.doi.org/10.3390/microorganisms10010074","http://dx.doi.org/10.3390/microorganisms10010074")</f>
        <v>http://dx.doi.org/10.3390/microorganisms10010074</v>
      </c>
      <c r="V174" s="1">
        <v>11</v>
      </c>
      <c r="W174" s="1" t="s">
        <v>824</v>
      </c>
      <c r="X174" s="1" t="s">
        <v>67</v>
      </c>
      <c r="Y174" s="1" t="s">
        <v>824</v>
      </c>
      <c r="Z174" s="1">
        <v>35056522</v>
      </c>
      <c r="AA174" s="1" t="s">
        <v>337</v>
      </c>
    </row>
    <row r="175" spans="1:27" s="1" customFormat="1" ht="18.5" x14ac:dyDescent="0.45">
      <c r="A175" s="1" t="s">
        <v>6229</v>
      </c>
      <c r="B175" s="1" t="s">
        <v>6230</v>
      </c>
      <c r="C175" s="1" t="s">
        <v>6231</v>
      </c>
      <c r="D175" s="1" t="s">
        <v>53</v>
      </c>
      <c r="E175" s="2">
        <v>2022</v>
      </c>
      <c r="F175" s="1" t="s">
        <v>6232</v>
      </c>
      <c r="G175" s="1" t="s">
        <v>4648</v>
      </c>
      <c r="H175" s="1" t="s">
        <v>6233</v>
      </c>
      <c r="I175" s="1">
        <v>91</v>
      </c>
      <c r="J175" s="1">
        <v>8</v>
      </c>
      <c r="K175" s="1">
        <v>3</v>
      </c>
      <c r="L175" s="1">
        <v>15</v>
      </c>
      <c r="M175" s="1" t="s">
        <v>1335</v>
      </c>
      <c r="N175" s="1" t="s">
        <v>1336</v>
      </c>
      <c r="O175" s="1" t="s">
        <v>1337</v>
      </c>
      <c r="P175" s="1" t="s">
        <v>6234</v>
      </c>
      <c r="Q175" s="1" t="s">
        <v>48</v>
      </c>
      <c r="R175" s="1">
        <v>11</v>
      </c>
      <c r="S175" s="1">
        <v>4</v>
      </c>
      <c r="T175" s="1" t="s">
        <v>6235</v>
      </c>
      <c r="U175" s="1" t="str">
        <f>HYPERLINK("http://dx.doi.org/10.1016/j.tcrr.2023.03.001","http://dx.doi.org/10.1016/j.tcrr.2023.03.001")</f>
        <v>http://dx.doi.org/10.1016/j.tcrr.2023.03.001</v>
      </c>
      <c r="V175" s="1">
        <v>19</v>
      </c>
      <c r="W175" s="1" t="s">
        <v>1112</v>
      </c>
      <c r="X175" s="1" t="s">
        <v>124</v>
      </c>
      <c r="Y175" s="1" t="s">
        <v>1112</v>
      </c>
      <c r="Z175" s="1" t="s">
        <v>48</v>
      </c>
      <c r="AA175" s="1" t="s">
        <v>125</v>
      </c>
    </row>
    <row r="176" spans="1:27" s="1" customFormat="1" ht="18.5" x14ac:dyDescent="0.45">
      <c r="A176" s="1" t="s">
        <v>6050</v>
      </c>
      <c r="B176" s="1" t="s">
        <v>6250</v>
      </c>
      <c r="C176" s="1" t="s">
        <v>3605</v>
      </c>
      <c r="D176" s="1" t="s">
        <v>53</v>
      </c>
      <c r="E176" s="2">
        <v>2022</v>
      </c>
      <c r="F176" s="1" t="s">
        <v>6251</v>
      </c>
      <c r="G176" s="1" t="s">
        <v>6051</v>
      </c>
      <c r="H176" s="1" t="s">
        <v>6252</v>
      </c>
      <c r="I176" s="1">
        <v>76</v>
      </c>
      <c r="J176" s="1">
        <v>5</v>
      </c>
      <c r="K176" s="1">
        <v>0</v>
      </c>
      <c r="L176" s="1">
        <v>9</v>
      </c>
      <c r="M176" s="1" t="s">
        <v>79</v>
      </c>
      <c r="N176" s="1" t="s">
        <v>80</v>
      </c>
      <c r="O176" s="1" t="s">
        <v>81</v>
      </c>
      <c r="P176" s="1" t="s">
        <v>3609</v>
      </c>
      <c r="Q176" s="1" t="s">
        <v>3610</v>
      </c>
      <c r="R176" s="1">
        <v>34</v>
      </c>
      <c r="S176" s="1">
        <v>8</v>
      </c>
      <c r="T176" s="1" t="s">
        <v>6253</v>
      </c>
      <c r="U176" s="1" t="str">
        <f>HYPERLINK("http://dx.doi.org/10.1016/j.jksuci.2022.05.013","http://dx.doi.org/10.1016/j.jksuci.2022.05.013")</f>
        <v>http://dx.doi.org/10.1016/j.jksuci.2022.05.013</v>
      </c>
      <c r="V176" s="1">
        <v>21</v>
      </c>
      <c r="W176" s="1" t="s">
        <v>291</v>
      </c>
      <c r="X176" s="1" t="s">
        <v>67</v>
      </c>
      <c r="Y176" s="1" t="s">
        <v>292</v>
      </c>
      <c r="Z176" s="1" t="s">
        <v>48</v>
      </c>
      <c r="AA176" s="1" t="s">
        <v>48</v>
      </c>
    </row>
    <row r="177" spans="1:27" s="1" customFormat="1" ht="18.5" x14ac:dyDescent="0.45">
      <c r="A177" s="1" t="s">
        <v>6263</v>
      </c>
      <c r="B177" s="1" t="s">
        <v>6264</v>
      </c>
      <c r="C177" s="1" t="s">
        <v>6265</v>
      </c>
      <c r="D177" s="1" t="s">
        <v>53</v>
      </c>
      <c r="E177" s="2">
        <v>2022</v>
      </c>
      <c r="F177" s="1" t="s">
        <v>6266</v>
      </c>
      <c r="G177" s="1" t="s">
        <v>6267</v>
      </c>
      <c r="H177" s="1" t="s">
        <v>2513</v>
      </c>
      <c r="I177" s="1">
        <v>60</v>
      </c>
      <c r="J177" s="1">
        <v>3</v>
      </c>
      <c r="K177" s="1">
        <v>1</v>
      </c>
      <c r="L177" s="1">
        <v>13</v>
      </c>
      <c r="M177" s="1" t="s">
        <v>347</v>
      </c>
      <c r="N177" s="1" t="s">
        <v>348</v>
      </c>
      <c r="O177" s="1" t="s">
        <v>349</v>
      </c>
      <c r="P177" s="1" t="s">
        <v>6268</v>
      </c>
      <c r="Q177" s="1" t="s">
        <v>6269</v>
      </c>
      <c r="R177" s="1">
        <v>37</v>
      </c>
      <c r="S177" s="1">
        <v>4</v>
      </c>
      <c r="T177" s="1" t="s">
        <v>6270</v>
      </c>
      <c r="U177" s="1" t="str">
        <f>HYPERLINK("http://dx.doi.org/10.1111/1442-1984.12380","http://dx.doi.org/10.1111/1442-1984.12380")</f>
        <v>http://dx.doi.org/10.1111/1442-1984.12380</v>
      </c>
      <c r="V177" s="1">
        <v>16</v>
      </c>
      <c r="W177" s="1" t="s">
        <v>6271</v>
      </c>
      <c r="X177" s="1" t="s">
        <v>67</v>
      </c>
      <c r="Y177" s="1" t="s">
        <v>6272</v>
      </c>
      <c r="Z177" s="1" t="s">
        <v>48</v>
      </c>
      <c r="AA177" s="1" t="s">
        <v>48</v>
      </c>
    </row>
    <row r="178" spans="1:27" s="1" customFormat="1" ht="18.5" x14ac:dyDescent="0.45">
      <c r="A178" s="1" t="s">
        <v>6273</v>
      </c>
      <c r="B178" s="1" t="s">
        <v>6274</v>
      </c>
      <c r="C178" s="1" t="s">
        <v>2205</v>
      </c>
      <c r="D178" s="1" t="s">
        <v>53</v>
      </c>
      <c r="E178" s="2">
        <v>2022</v>
      </c>
      <c r="F178" s="1" t="s">
        <v>6275</v>
      </c>
      <c r="G178" s="1" t="s">
        <v>6276</v>
      </c>
      <c r="H178" s="1" t="s">
        <v>6277</v>
      </c>
      <c r="I178" s="1">
        <v>42</v>
      </c>
      <c r="J178" s="1">
        <v>21</v>
      </c>
      <c r="K178" s="1">
        <v>0</v>
      </c>
      <c r="L178" s="1">
        <v>14</v>
      </c>
      <c r="M178" s="1" t="s">
        <v>503</v>
      </c>
      <c r="N178" s="1" t="s">
        <v>504</v>
      </c>
      <c r="O178" s="1" t="s">
        <v>505</v>
      </c>
      <c r="P178" s="1" t="s">
        <v>2207</v>
      </c>
      <c r="Q178" s="1" t="s">
        <v>2208</v>
      </c>
      <c r="R178" s="1">
        <v>50</v>
      </c>
      <c r="S178" s="1">
        <v>9</v>
      </c>
      <c r="T178" s="1" t="s">
        <v>6278</v>
      </c>
      <c r="U178" s="1" t="str">
        <f>HYPERLINK("http://dx.doi.org/10.1007/s12524-022-01560-5","http://dx.doi.org/10.1007/s12524-022-01560-5")</f>
        <v>http://dx.doi.org/10.1007/s12524-022-01560-5</v>
      </c>
      <c r="V178" s="1">
        <v>21</v>
      </c>
      <c r="W178" s="1" t="s">
        <v>1896</v>
      </c>
      <c r="X178" s="1" t="s">
        <v>67</v>
      </c>
      <c r="Y178" s="1" t="s">
        <v>1897</v>
      </c>
      <c r="Z178" s="1" t="s">
        <v>48</v>
      </c>
      <c r="AA178" s="1" t="s">
        <v>48</v>
      </c>
    </row>
    <row r="179" spans="1:27" s="1" customFormat="1" ht="18.5" x14ac:dyDescent="0.45">
      <c r="A179" s="1" t="s">
        <v>6279</v>
      </c>
      <c r="B179" s="1" t="s">
        <v>6280</v>
      </c>
      <c r="C179" s="1" t="s">
        <v>6281</v>
      </c>
      <c r="D179" s="1" t="s">
        <v>53</v>
      </c>
      <c r="E179" s="2">
        <v>2022</v>
      </c>
      <c r="F179" s="1" t="s">
        <v>6282</v>
      </c>
      <c r="G179" s="1" t="s">
        <v>6267</v>
      </c>
      <c r="H179" s="1" t="s">
        <v>6283</v>
      </c>
      <c r="I179" s="1">
        <v>100</v>
      </c>
      <c r="J179" s="1">
        <v>12</v>
      </c>
      <c r="K179" s="1">
        <v>0</v>
      </c>
      <c r="L179" s="1">
        <v>4</v>
      </c>
      <c r="M179" s="1" t="s">
        <v>215</v>
      </c>
      <c r="N179" s="1" t="s">
        <v>158</v>
      </c>
      <c r="O179" s="1" t="s">
        <v>216</v>
      </c>
      <c r="P179" s="1" t="s">
        <v>6284</v>
      </c>
      <c r="Q179" s="1" t="s">
        <v>6285</v>
      </c>
      <c r="R179" s="1">
        <v>292</v>
      </c>
      <c r="S179" s="1" t="s">
        <v>48</v>
      </c>
      <c r="T179" s="1" t="s">
        <v>6286</v>
      </c>
      <c r="U179" s="1" t="str">
        <f>HYPERLINK("http://dx.doi.org/10.1016/j.socscimed.2021.114604","http://dx.doi.org/10.1016/j.socscimed.2021.114604")</f>
        <v>http://dx.doi.org/10.1016/j.socscimed.2021.114604</v>
      </c>
      <c r="V179" s="1">
        <v>10</v>
      </c>
      <c r="W179" s="1" t="s">
        <v>6287</v>
      </c>
      <c r="X179" s="1" t="s">
        <v>944</v>
      </c>
      <c r="Y179" s="1" t="s">
        <v>6288</v>
      </c>
      <c r="Z179" s="1">
        <v>34864276</v>
      </c>
      <c r="AA179" s="1" t="s">
        <v>48</v>
      </c>
    </row>
    <row r="180" spans="1:27" s="1" customFormat="1" ht="18.5" x14ac:dyDescent="0.45">
      <c r="A180" s="1" t="s">
        <v>6295</v>
      </c>
      <c r="B180" s="1" t="s">
        <v>6296</v>
      </c>
      <c r="C180" s="1" t="s">
        <v>6297</v>
      </c>
      <c r="D180" s="1" t="s">
        <v>53</v>
      </c>
      <c r="E180" s="2">
        <v>2022</v>
      </c>
      <c r="F180" s="1" t="s">
        <v>6298</v>
      </c>
      <c r="G180" s="1" t="s">
        <v>6299</v>
      </c>
      <c r="H180" s="1" t="s">
        <v>6300</v>
      </c>
      <c r="I180" s="1">
        <v>54</v>
      </c>
      <c r="J180" s="1">
        <v>1</v>
      </c>
      <c r="K180" s="1">
        <v>0</v>
      </c>
      <c r="L180" s="1">
        <v>3</v>
      </c>
      <c r="M180" s="1" t="s">
        <v>79</v>
      </c>
      <c r="N180" s="1" t="s">
        <v>80</v>
      </c>
      <c r="O180" s="1" t="s">
        <v>81</v>
      </c>
      <c r="P180" s="1" t="s">
        <v>48</v>
      </c>
      <c r="Q180" s="1" t="s">
        <v>6301</v>
      </c>
      <c r="R180" s="1">
        <v>29</v>
      </c>
      <c r="S180" s="1" t="s">
        <v>48</v>
      </c>
      <c r="T180" s="1" t="s">
        <v>6304</v>
      </c>
      <c r="U180" s="1" t="str">
        <f>HYPERLINK("http://dx.doi.org/10.1016/j.genrep.2022.101689","http://dx.doi.org/10.1016/j.genrep.2022.101689")</f>
        <v>http://dx.doi.org/10.1016/j.genrep.2022.101689</v>
      </c>
      <c r="V180" s="1">
        <v>13</v>
      </c>
      <c r="W180" s="1" t="s">
        <v>1557</v>
      </c>
      <c r="X180" s="1" t="s">
        <v>124</v>
      </c>
      <c r="Y180" s="1" t="s">
        <v>1557</v>
      </c>
      <c r="Z180" s="1" t="s">
        <v>48</v>
      </c>
      <c r="AA180" s="1" t="s">
        <v>48</v>
      </c>
    </row>
    <row r="181" spans="1:27" s="1" customFormat="1" ht="18.5" x14ac:dyDescent="0.45">
      <c r="A181" s="1" t="s">
        <v>6305</v>
      </c>
      <c r="B181" s="1" t="s">
        <v>6306</v>
      </c>
      <c r="C181" s="1" t="s">
        <v>6307</v>
      </c>
      <c r="D181" s="1" t="s">
        <v>53</v>
      </c>
      <c r="E181" s="2">
        <v>2022</v>
      </c>
      <c r="F181" s="1" t="s">
        <v>6308</v>
      </c>
      <c r="G181" s="1" t="s">
        <v>6309</v>
      </c>
      <c r="H181" s="1" t="s">
        <v>6310</v>
      </c>
      <c r="I181" s="1">
        <v>92</v>
      </c>
      <c r="J181" s="1">
        <v>14</v>
      </c>
      <c r="K181" s="1">
        <v>5</v>
      </c>
      <c r="L181" s="1">
        <v>31</v>
      </c>
      <c r="M181" s="1" t="s">
        <v>6311</v>
      </c>
      <c r="N181" s="1" t="s">
        <v>361</v>
      </c>
      <c r="O181" s="1" t="s">
        <v>6312</v>
      </c>
      <c r="P181" s="1" t="s">
        <v>6313</v>
      </c>
      <c r="Q181" s="1" t="s">
        <v>6314</v>
      </c>
      <c r="R181" s="1">
        <v>149</v>
      </c>
      <c r="S181" s="1">
        <v>4</v>
      </c>
      <c r="T181" s="1" t="s">
        <v>6316</v>
      </c>
      <c r="U181" s="1" t="str">
        <f>HYPERLINK("http://dx.doi.org/10.1242/dev.199974","http://dx.doi.org/10.1242/dev.199974")</f>
        <v>http://dx.doi.org/10.1242/dev.199974</v>
      </c>
      <c r="V181" s="1">
        <v>14</v>
      </c>
      <c r="W181" s="1" t="s">
        <v>6317</v>
      </c>
      <c r="X181" s="1" t="s">
        <v>67</v>
      </c>
      <c r="Y181" s="1" t="s">
        <v>6317</v>
      </c>
      <c r="Z181" s="1">
        <v>35029672</v>
      </c>
      <c r="AA181" s="1" t="s">
        <v>550</v>
      </c>
    </row>
    <row r="182" spans="1:27" s="1" customFormat="1" ht="18.5" x14ac:dyDescent="0.45">
      <c r="A182" s="1" t="s">
        <v>6356</v>
      </c>
      <c r="B182" s="1" t="s">
        <v>6357</v>
      </c>
      <c r="C182" s="1" t="s">
        <v>6358</v>
      </c>
      <c r="D182" s="1" t="s">
        <v>1114</v>
      </c>
      <c r="E182" s="2">
        <v>2022</v>
      </c>
      <c r="F182" s="1" t="s">
        <v>6359</v>
      </c>
      <c r="G182" s="1" t="s">
        <v>6360</v>
      </c>
      <c r="H182" s="1" t="s">
        <v>6361</v>
      </c>
      <c r="I182" s="1">
        <v>46</v>
      </c>
      <c r="J182" s="1">
        <v>1</v>
      </c>
      <c r="K182" s="1">
        <v>1</v>
      </c>
      <c r="L182" s="1">
        <v>7</v>
      </c>
      <c r="M182" s="1" t="s">
        <v>2360</v>
      </c>
      <c r="N182" s="1" t="s">
        <v>2361</v>
      </c>
      <c r="O182" s="1" t="s">
        <v>2362</v>
      </c>
      <c r="P182" s="1" t="s">
        <v>6362</v>
      </c>
      <c r="Q182" s="1" t="s">
        <v>6363</v>
      </c>
      <c r="R182" s="1">
        <v>23</v>
      </c>
      <c r="S182" s="1">
        <v>1</v>
      </c>
      <c r="T182" s="1" t="s">
        <v>6364</v>
      </c>
      <c r="U182" s="1" t="str">
        <f>HYPERLINK("http://dx.doi.org/10.2174/1389203723666220127154159","http://dx.doi.org/10.2174/1389203723666220127154159")</f>
        <v>http://dx.doi.org/10.2174/1389203723666220127154159</v>
      </c>
      <c r="V182" s="1">
        <v>11</v>
      </c>
      <c r="W182" s="1" t="s">
        <v>5596</v>
      </c>
      <c r="X182" s="1" t="s">
        <v>67</v>
      </c>
      <c r="Y182" s="1" t="s">
        <v>5596</v>
      </c>
      <c r="Z182" s="1">
        <v>35086446</v>
      </c>
      <c r="AA182" s="1" t="s">
        <v>48</v>
      </c>
    </row>
    <row r="183" spans="1:27" s="1" customFormat="1" ht="18.5" x14ac:dyDescent="0.45">
      <c r="A183" s="1" t="s">
        <v>6376</v>
      </c>
      <c r="B183" s="1" t="s">
        <v>6377</v>
      </c>
      <c r="C183" s="1" t="s">
        <v>4698</v>
      </c>
      <c r="D183" s="1" t="s">
        <v>53</v>
      </c>
      <c r="E183" s="2">
        <v>2022</v>
      </c>
      <c r="F183" s="1" t="s">
        <v>6378</v>
      </c>
      <c r="G183" s="1" t="s">
        <v>6379</v>
      </c>
      <c r="H183" s="1" t="s">
        <v>6380</v>
      </c>
      <c r="I183" s="1">
        <v>60</v>
      </c>
      <c r="J183" s="1">
        <v>2</v>
      </c>
      <c r="K183" s="1">
        <v>1</v>
      </c>
      <c r="L183" s="1">
        <v>6</v>
      </c>
      <c r="M183" s="1" t="s">
        <v>79</v>
      </c>
      <c r="N183" s="1" t="s">
        <v>80</v>
      </c>
      <c r="O183" s="1" t="s">
        <v>81</v>
      </c>
      <c r="P183" s="1" t="s">
        <v>4701</v>
      </c>
      <c r="Q183" s="1" t="s">
        <v>4702</v>
      </c>
      <c r="R183" s="1">
        <v>1267</v>
      </c>
      <c r="S183" s="1" t="s">
        <v>48</v>
      </c>
      <c r="T183" s="1" t="s">
        <v>6381</v>
      </c>
      <c r="U183" s="1" t="str">
        <f>HYPERLINK("http://dx.doi.org/10.1016/j.molstruc.2022.133562","http://dx.doi.org/10.1016/j.molstruc.2022.133562")</f>
        <v>http://dx.doi.org/10.1016/j.molstruc.2022.133562</v>
      </c>
      <c r="V183" s="1">
        <v>6</v>
      </c>
      <c r="W183" s="1" t="s">
        <v>2899</v>
      </c>
      <c r="X183" s="1" t="s">
        <v>67</v>
      </c>
      <c r="Y183" s="1" t="s">
        <v>2293</v>
      </c>
      <c r="Z183" s="1" t="s">
        <v>48</v>
      </c>
      <c r="AA183" s="1" t="s">
        <v>48</v>
      </c>
    </row>
    <row r="184" spans="1:27" s="1" customFormat="1" ht="18.5" x14ac:dyDescent="0.45">
      <c r="A184" s="1" t="s">
        <v>6422</v>
      </c>
      <c r="B184" s="1" t="s">
        <v>6423</v>
      </c>
      <c r="C184" s="1" t="s">
        <v>1006</v>
      </c>
      <c r="D184" s="1" t="s">
        <v>53</v>
      </c>
      <c r="E184" s="2">
        <v>2022</v>
      </c>
      <c r="F184" s="1" t="s">
        <v>6424</v>
      </c>
      <c r="G184" s="1" t="s">
        <v>6425</v>
      </c>
      <c r="H184" s="1" t="s">
        <v>6426</v>
      </c>
      <c r="I184" s="1">
        <v>68</v>
      </c>
      <c r="J184" s="1">
        <v>20</v>
      </c>
      <c r="K184" s="1">
        <v>4</v>
      </c>
      <c r="L184" s="1">
        <v>16</v>
      </c>
      <c r="M184" s="1" t="s">
        <v>252</v>
      </c>
      <c r="N184" s="1" t="s">
        <v>253</v>
      </c>
      <c r="O184" s="1" t="s">
        <v>254</v>
      </c>
      <c r="P184" s="1" t="s">
        <v>1009</v>
      </c>
      <c r="Q184" s="1" t="s">
        <v>1010</v>
      </c>
      <c r="R184" s="1">
        <v>12</v>
      </c>
      <c r="S184" s="1">
        <v>3</v>
      </c>
      <c r="T184" s="1" t="s">
        <v>6427</v>
      </c>
      <c r="U184" s="1" t="str">
        <f>HYPERLINK("http://dx.doi.org/10.1007/s13201-021-01550-x","http://dx.doi.org/10.1007/s13201-021-01550-x")</f>
        <v>http://dx.doi.org/10.1007/s13201-021-01550-x</v>
      </c>
      <c r="V184" s="1">
        <v>19</v>
      </c>
      <c r="W184" s="1" t="s">
        <v>205</v>
      </c>
      <c r="X184" s="1" t="s">
        <v>67</v>
      </c>
      <c r="Y184" s="1" t="s">
        <v>205</v>
      </c>
      <c r="Z184" s="1" t="s">
        <v>48</v>
      </c>
      <c r="AA184" s="1" t="s">
        <v>125</v>
      </c>
    </row>
    <row r="185" spans="1:27" s="1" customFormat="1" ht="18.5" x14ac:dyDescent="0.45">
      <c r="A185" s="1" t="s">
        <v>6428</v>
      </c>
      <c r="B185" s="1" t="s">
        <v>6429</v>
      </c>
      <c r="C185" s="1" t="s">
        <v>6430</v>
      </c>
      <c r="D185" s="1" t="s">
        <v>53</v>
      </c>
      <c r="E185" s="2">
        <v>2022</v>
      </c>
      <c r="F185" s="1" t="s">
        <v>6431</v>
      </c>
      <c r="G185" s="1" t="s">
        <v>6267</v>
      </c>
      <c r="H185" s="1" t="s">
        <v>6374</v>
      </c>
      <c r="I185" s="1">
        <v>56</v>
      </c>
      <c r="J185" s="1">
        <v>15</v>
      </c>
      <c r="K185" s="1">
        <v>1</v>
      </c>
      <c r="L185" s="1">
        <v>1</v>
      </c>
      <c r="M185" s="1" t="s">
        <v>79</v>
      </c>
      <c r="N185" s="1" t="s">
        <v>80</v>
      </c>
      <c r="O185" s="1" t="s">
        <v>81</v>
      </c>
      <c r="P185" s="1" t="s">
        <v>6432</v>
      </c>
      <c r="Q185" s="1" t="s">
        <v>48</v>
      </c>
      <c r="R185" s="1">
        <v>14</v>
      </c>
      <c r="S185" s="1" t="s">
        <v>48</v>
      </c>
      <c r="T185" s="1" t="s">
        <v>6433</v>
      </c>
      <c r="U185" s="1" t="str">
        <f>HYPERLINK("http://dx.doi.org/10.1016/j.rcradv.2022.200077","http://dx.doi.org/10.1016/j.rcradv.2022.200077")</f>
        <v>http://dx.doi.org/10.1016/j.rcradv.2022.200077</v>
      </c>
      <c r="V185" s="1">
        <v>15</v>
      </c>
      <c r="W185" s="1" t="s">
        <v>438</v>
      </c>
      <c r="X185" s="1" t="s">
        <v>124</v>
      </c>
      <c r="Y185" s="1" t="s">
        <v>439</v>
      </c>
      <c r="Z185" s="1" t="s">
        <v>48</v>
      </c>
      <c r="AA185" s="1" t="s">
        <v>125</v>
      </c>
    </row>
    <row r="186" spans="1:27" s="1" customFormat="1" ht="18.5" x14ac:dyDescent="0.45">
      <c r="A186" s="1" t="s">
        <v>6422</v>
      </c>
      <c r="B186" s="1" t="s">
        <v>6439</v>
      </c>
      <c r="C186" s="1" t="s">
        <v>979</v>
      </c>
      <c r="D186" s="1" t="s">
        <v>53</v>
      </c>
      <c r="E186" s="2">
        <v>2022</v>
      </c>
      <c r="F186" s="1" t="s">
        <v>6440</v>
      </c>
      <c r="G186" s="1" t="s">
        <v>4648</v>
      </c>
      <c r="H186" s="1" t="s">
        <v>6441</v>
      </c>
      <c r="I186" s="1">
        <v>90</v>
      </c>
      <c r="J186" s="1">
        <v>17</v>
      </c>
      <c r="K186" s="1">
        <v>6</v>
      </c>
      <c r="L186" s="1">
        <v>14</v>
      </c>
      <c r="M186" s="1" t="s">
        <v>198</v>
      </c>
      <c r="N186" s="1" t="s">
        <v>146</v>
      </c>
      <c r="O186" s="1" t="s">
        <v>199</v>
      </c>
      <c r="P186" s="1" t="s">
        <v>982</v>
      </c>
      <c r="Q186" s="1" t="s">
        <v>983</v>
      </c>
      <c r="R186" s="1">
        <v>37</v>
      </c>
      <c r="S186" s="1">
        <v>26</v>
      </c>
      <c r="T186" s="1" t="s">
        <v>6442</v>
      </c>
      <c r="U186" s="1" t="str">
        <f>HYPERLINK("http://dx.doi.org/10.1080/10106049.2022.2060323","http://dx.doi.org/10.1080/10106049.2022.2060323")</f>
        <v>http://dx.doi.org/10.1080/10106049.2022.2060323</v>
      </c>
      <c r="V186" s="1">
        <v>26</v>
      </c>
      <c r="W186" s="1" t="s">
        <v>988</v>
      </c>
      <c r="X186" s="1" t="s">
        <v>67</v>
      </c>
      <c r="Y186" s="1" t="s">
        <v>989</v>
      </c>
      <c r="Z186" s="1" t="s">
        <v>48</v>
      </c>
      <c r="AA186" s="1" t="s">
        <v>48</v>
      </c>
    </row>
    <row r="187" spans="1:27" s="1" customFormat="1" ht="18.5" x14ac:dyDescent="0.45">
      <c r="A187" s="1" t="s">
        <v>6371</v>
      </c>
      <c r="B187" s="1" t="s">
        <v>6461</v>
      </c>
      <c r="C187" s="1" t="s">
        <v>155</v>
      </c>
      <c r="D187" s="1" t="s">
        <v>53</v>
      </c>
      <c r="E187" s="2">
        <v>2022</v>
      </c>
      <c r="F187" s="1" t="s">
        <v>6373</v>
      </c>
      <c r="G187" s="1" t="s">
        <v>4648</v>
      </c>
      <c r="H187" s="1" t="s">
        <v>6374</v>
      </c>
      <c r="I187" s="1">
        <v>73</v>
      </c>
      <c r="J187" s="1">
        <v>7</v>
      </c>
      <c r="K187" s="1">
        <v>3</v>
      </c>
      <c r="L187" s="1">
        <v>29</v>
      </c>
      <c r="M187" s="1" t="s">
        <v>60</v>
      </c>
      <c r="N187" s="1" t="s">
        <v>61</v>
      </c>
      <c r="O187" s="1" t="s">
        <v>62</v>
      </c>
      <c r="P187" s="1" t="s">
        <v>160</v>
      </c>
      <c r="Q187" s="1" t="s">
        <v>161</v>
      </c>
      <c r="R187" s="1">
        <v>380</v>
      </c>
      <c r="S187" s="1" t="s">
        <v>48</v>
      </c>
      <c r="T187" s="1" t="s">
        <v>6462</v>
      </c>
      <c r="U187" s="1" t="str">
        <f>HYPERLINK("http://dx.doi.org/10.1016/j.jclepro.2022.135054","http://dx.doi.org/10.1016/j.jclepro.2022.135054")</f>
        <v>http://dx.doi.org/10.1016/j.jclepro.2022.135054</v>
      </c>
      <c r="V187" s="1">
        <v>13</v>
      </c>
      <c r="W187" s="1" t="s">
        <v>164</v>
      </c>
      <c r="X187" s="1" t="s">
        <v>67</v>
      </c>
      <c r="Y187" s="1" t="s">
        <v>165</v>
      </c>
      <c r="Z187" s="1" t="s">
        <v>48</v>
      </c>
      <c r="AA187" s="1" t="s">
        <v>48</v>
      </c>
    </row>
    <row r="188" spans="1:27" s="1" customFormat="1" ht="18.5" x14ac:dyDescent="0.45">
      <c r="A188" s="1" t="s">
        <v>6463</v>
      </c>
      <c r="B188" s="1" t="s">
        <v>6464</v>
      </c>
      <c r="C188" s="1" t="s">
        <v>4812</v>
      </c>
      <c r="D188" s="1" t="s">
        <v>53</v>
      </c>
      <c r="E188" s="2">
        <v>2022</v>
      </c>
      <c r="F188" s="1" t="s">
        <v>6465</v>
      </c>
      <c r="G188" s="1" t="s">
        <v>6466</v>
      </c>
      <c r="H188" s="1" t="s">
        <v>1045</v>
      </c>
      <c r="I188" s="1">
        <v>42</v>
      </c>
      <c r="J188" s="1">
        <v>15</v>
      </c>
      <c r="K188" s="1">
        <v>2</v>
      </c>
      <c r="L188" s="1">
        <v>11</v>
      </c>
      <c r="M188" s="1" t="s">
        <v>132</v>
      </c>
      <c r="N188" s="1" t="s">
        <v>133</v>
      </c>
      <c r="O188" s="1" t="s">
        <v>134</v>
      </c>
      <c r="P188" s="1" t="s">
        <v>48</v>
      </c>
      <c r="Q188" s="1" t="s">
        <v>4816</v>
      </c>
      <c r="R188" s="1">
        <v>14</v>
      </c>
      <c r="S188" s="1">
        <v>1</v>
      </c>
      <c r="T188" s="1" t="s">
        <v>6467</v>
      </c>
      <c r="U188" s="1" t="str">
        <f>HYPERLINK("http://dx.doi.org/10.3390/sym14010135","http://dx.doi.org/10.3390/sym14010135")</f>
        <v>http://dx.doi.org/10.3390/sym14010135</v>
      </c>
      <c r="V188" s="1">
        <v>19</v>
      </c>
      <c r="W188" s="1" t="s">
        <v>335</v>
      </c>
      <c r="X188" s="1" t="s">
        <v>67</v>
      </c>
      <c r="Y188" s="1" t="s">
        <v>336</v>
      </c>
      <c r="Z188" s="1" t="s">
        <v>48</v>
      </c>
      <c r="AA188" s="1" t="s">
        <v>125</v>
      </c>
    </row>
    <row r="189" spans="1:27" s="1" customFormat="1" ht="18.5" x14ac:dyDescent="0.45">
      <c r="A189" s="1" t="s">
        <v>6480</v>
      </c>
      <c r="B189" s="1" t="s">
        <v>6481</v>
      </c>
      <c r="C189" s="1" t="s">
        <v>5412</v>
      </c>
      <c r="D189" s="1" t="s">
        <v>53</v>
      </c>
      <c r="E189" s="2">
        <v>2022</v>
      </c>
      <c r="F189" s="1" t="s">
        <v>6482</v>
      </c>
      <c r="G189" s="1" t="s">
        <v>6483</v>
      </c>
      <c r="H189" s="1" t="s">
        <v>6484</v>
      </c>
      <c r="I189" s="1">
        <v>59</v>
      </c>
      <c r="J189" s="1">
        <v>5</v>
      </c>
      <c r="K189" s="1">
        <v>0</v>
      </c>
      <c r="L189" s="1">
        <v>7</v>
      </c>
      <c r="M189" s="1" t="s">
        <v>215</v>
      </c>
      <c r="N189" s="1" t="s">
        <v>158</v>
      </c>
      <c r="O189" s="1" t="s">
        <v>216</v>
      </c>
      <c r="P189" s="1" t="s">
        <v>5419</v>
      </c>
      <c r="Q189" s="1" t="s">
        <v>5420</v>
      </c>
      <c r="R189" s="1">
        <v>226</v>
      </c>
      <c r="S189" s="1" t="s">
        <v>48</v>
      </c>
      <c r="T189" s="1" t="s">
        <v>6485</v>
      </c>
      <c r="U189" s="1" t="str">
        <f>HYPERLINK("http://dx.doi.org/10.1016/j.poly.2022.116098","http://dx.doi.org/10.1016/j.poly.2022.116098")</f>
        <v>http://dx.doi.org/10.1016/j.poly.2022.116098</v>
      </c>
      <c r="V189" s="1">
        <v>8</v>
      </c>
      <c r="W189" s="1" t="s">
        <v>5423</v>
      </c>
      <c r="X189" s="1" t="s">
        <v>67</v>
      </c>
      <c r="Y189" s="1" t="s">
        <v>5424</v>
      </c>
      <c r="Z189" s="1" t="s">
        <v>48</v>
      </c>
      <c r="AA189" s="1" t="s">
        <v>48</v>
      </c>
    </row>
    <row r="190" spans="1:27" s="1" customFormat="1" ht="18.5" x14ac:dyDescent="0.45">
      <c r="A190" s="1" t="s">
        <v>6486</v>
      </c>
      <c r="B190" s="1" t="s">
        <v>6487</v>
      </c>
      <c r="C190" s="1" t="s">
        <v>4698</v>
      </c>
      <c r="D190" s="1" t="s">
        <v>53</v>
      </c>
      <c r="E190" s="2">
        <v>2022</v>
      </c>
      <c r="F190" s="1" t="s">
        <v>6488</v>
      </c>
      <c r="G190" s="1" t="s">
        <v>6489</v>
      </c>
      <c r="H190" s="1" t="s">
        <v>6490</v>
      </c>
      <c r="I190" s="1">
        <v>54</v>
      </c>
      <c r="J190" s="1">
        <v>10</v>
      </c>
      <c r="K190" s="1">
        <v>3</v>
      </c>
      <c r="L190" s="1">
        <v>13</v>
      </c>
      <c r="M190" s="1" t="s">
        <v>79</v>
      </c>
      <c r="N190" s="1" t="s">
        <v>80</v>
      </c>
      <c r="O190" s="1" t="s">
        <v>81</v>
      </c>
      <c r="P190" s="1" t="s">
        <v>4701</v>
      </c>
      <c r="Q190" s="1" t="s">
        <v>4702</v>
      </c>
      <c r="R190" s="1">
        <v>1264</v>
      </c>
      <c r="S190" s="1" t="s">
        <v>48</v>
      </c>
      <c r="T190" s="1" t="s">
        <v>6491</v>
      </c>
      <c r="U190" s="1" t="str">
        <f>HYPERLINK("http://dx.doi.org/10.1016/j.molstruc.2022.133228","http://dx.doi.org/10.1016/j.molstruc.2022.133228")</f>
        <v>http://dx.doi.org/10.1016/j.molstruc.2022.133228</v>
      </c>
      <c r="V190" s="1">
        <v>7</v>
      </c>
      <c r="W190" s="1" t="s">
        <v>2899</v>
      </c>
      <c r="X190" s="1" t="s">
        <v>67</v>
      </c>
      <c r="Y190" s="1" t="s">
        <v>2293</v>
      </c>
      <c r="Z190" s="1" t="s">
        <v>48</v>
      </c>
      <c r="AA190" s="1" t="s">
        <v>48</v>
      </c>
    </row>
    <row r="191" spans="1:27" s="1" customFormat="1" ht="18.5" x14ac:dyDescent="0.45">
      <c r="A191" s="1" t="s">
        <v>6546</v>
      </c>
      <c r="B191" s="1" t="s">
        <v>6547</v>
      </c>
      <c r="C191" s="1" t="s">
        <v>6548</v>
      </c>
      <c r="D191" s="1" t="s">
        <v>53</v>
      </c>
      <c r="E191" s="2">
        <v>2022</v>
      </c>
      <c r="F191" s="1" t="s">
        <v>6549</v>
      </c>
      <c r="G191" s="1" t="s">
        <v>4778</v>
      </c>
      <c r="H191" s="1" t="s">
        <v>6550</v>
      </c>
      <c r="I191" s="1">
        <v>70</v>
      </c>
      <c r="J191" s="1">
        <v>6</v>
      </c>
      <c r="K191" s="1">
        <v>0</v>
      </c>
      <c r="L191" s="1">
        <v>4</v>
      </c>
      <c r="M191" s="1" t="s">
        <v>347</v>
      </c>
      <c r="N191" s="1" t="s">
        <v>348</v>
      </c>
      <c r="O191" s="1" t="s">
        <v>349</v>
      </c>
      <c r="P191" s="1" t="s">
        <v>6551</v>
      </c>
      <c r="Q191" s="1" t="s">
        <v>6552</v>
      </c>
      <c r="R191" s="1">
        <v>37</v>
      </c>
      <c r="S191" s="1">
        <v>6</v>
      </c>
      <c r="T191" s="1" t="s">
        <v>6553</v>
      </c>
      <c r="U191" s="1" t="str">
        <f>HYPERLINK("http://dx.doi.org/10.1002/bio.4233","http://dx.doi.org/10.1002/bio.4233")</f>
        <v>http://dx.doi.org/10.1002/bio.4233</v>
      </c>
      <c r="V191" s="1">
        <v>15</v>
      </c>
      <c r="W191" s="1" t="s">
        <v>6554</v>
      </c>
      <c r="X191" s="1" t="s">
        <v>67</v>
      </c>
      <c r="Y191" s="1" t="s">
        <v>2293</v>
      </c>
      <c r="Z191" s="1">
        <v>35315206</v>
      </c>
      <c r="AA191" s="1" t="s">
        <v>48</v>
      </c>
    </row>
    <row r="192" spans="1:27" s="1" customFormat="1" ht="18.5" x14ac:dyDescent="0.45">
      <c r="A192" s="1" t="s">
        <v>6587</v>
      </c>
      <c r="B192" s="1" t="s">
        <v>6588</v>
      </c>
      <c r="C192" s="1" t="s">
        <v>6589</v>
      </c>
      <c r="D192" s="1" t="s">
        <v>53</v>
      </c>
      <c r="E192" s="2">
        <v>2022</v>
      </c>
      <c r="F192" s="1" t="s">
        <v>6590</v>
      </c>
      <c r="G192" s="1" t="s">
        <v>6591</v>
      </c>
      <c r="H192" s="1" t="s">
        <v>6592</v>
      </c>
      <c r="I192" s="1">
        <v>37</v>
      </c>
      <c r="J192" s="1">
        <v>3</v>
      </c>
      <c r="K192" s="1">
        <v>0</v>
      </c>
      <c r="L192" s="1">
        <v>1</v>
      </c>
      <c r="M192" s="1" t="s">
        <v>421</v>
      </c>
      <c r="N192" s="1" t="s">
        <v>422</v>
      </c>
      <c r="O192" s="1" t="s">
        <v>423</v>
      </c>
      <c r="P192" s="1" t="s">
        <v>6593</v>
      </c>
      <c r="Q192" s="1" t="s">
        <v>48</v>
      </c>
      <c r="R192" s="1">
        <v>12</v>
      </c>
      <c r="S192" s="1" t="s">
        <v>48</v>
      </c>
      <c r="T192" s="1" t="s">
        <v>6594</v>
      </c>
      <c r="U192" s="1" t="str">
        <f>HYPERLINK("http://dx.doi.org/10.3389/fcimb.2022.865814","http://dx.doi.org/10.3389/fcimb.2022.865814")</f>
        <v>http://dx.doi.org/10.3389/fcimb.2022.865814</v>
      </c>
      <c r="V192" s="1">
        <v>14</v>
      </c>
      <c r="W192" s="1" t="s">
        <v>2866</v>
      </c>
      <c r="X192" s="1" t="s">
        <v>67</v>
      </c>
      <c r="Y192" s="1" t="s">
        <v>2866</v>
      </c>
      <c r="Z192" s="1">
        <v>36583107</v>
      </c>
      <c r="AA192" s="1" t="s">
        <v>366</v>
      </c>
    </row>
    <row r="193" spans="1:27" s="1" customFormat="1" ht="18.5" x14ac:dyDescent="0.45">
      <c r="A193" s="1" t="s">
        <v>6605</v>
      </c>
      <c r="B193" s="1" t="s">
        <v>6606</v>
      </c>
      <c r="C193" s="1" t="s">
        <v>6607</v>
      </c>
      <c r="D193" s="1" t="s">
        <v>53</v>
      </c>
      <c r="E193" s="2">
        <v>2022</v>
      </c>
      <c r="F193" s="1" t="s">
        <v>6608</v>
      </c>
      <c r="G193" s="1" t="s">
        <v>6609</v>
      </c>
      <c r="H193" s="1" t="s">
        <v>4023</v>
      </c>
      <c r="I193" s="1">
        <v>39</v>
      </c>
      <c r="J193" s="1">
        <v>3</v>
      </c>
      <c r="K193" s="1">
        <v>0</v>
      </c>
      <c r="L193" s="1">
        <v>6</v>
      </c>
      <c r="M193" s="1" t="s">
        <v>79</v>
      </c>
      <c r="N193" s="1" t="s">
        <v>80</v>
      </c>
      <c r="O193" s="1" t="s">
        <v>81</v>
      </c>
      <c r="P193" s="1" t="s">
        <v>6610</v>
      </c>
      <c r="Q193" s="1" t="s">
        <v>6611</v>
      </c>
      <c r="R193" s="1">
        <v>69</v>
      </c>
      <c r="S193" s="1" t="s">
        <v>48</v>
      </c>
      <c r="T193" s="1" t="s">
        <v>6612</v>
      </c>
      <c r="U193" s="1" t="str">
        <f>HYPERLINK("http://dx.doi.org/10.1016/j.jisa.2022.103276","http://dx.doi.org/10.1016/j.jisa.2022.103276")</f>
        <v>http://dx.doi.org/10.1016/j.jisa.2022.103276</v>
      </c>
      <c r="V193" s="1">
        <v>20</v>
      </c>
      <c r="W193" s="1" t="s">
        <v>291</v>
      </c>
      <c r="X193" s="1" t="s">
        <v>67</v>
      </c>
      <c r="Y193" s="1" t="s">
        <v>292</v>
      </c>
      <c r="Z193" s="1" t="s">
        <v>48</v>
      </c>
      <c r="AA193" s="1" t="s">
        <v>48</v>
      </c>
    </row>
    <row r="194" spans="1:27" s="1" customFormat="1" ht="18.5" x14ac:dyDescent="0.45">
      <c r="A194" s="1" t="s">
        <v>6652</v>
      </c>
      <c r="B194" s="1" t="s">
        <v>6653</v>
      </c>
      <c r="C194" s="1" t="s">
        <v>250</v>
      </c>
      <c r="D194" s="1" t="s">
        <v>53</v>
      </c>
      <c r="E194" s="2">
        <v>2022</v>
      </c>
      <c r="F194" s="1" t="s">
        <v>6654</v>
      </c>
      <c r="G194" s="1" t="s">
        <v>6655</v>
      </c>
      <c r="H194" s="1" t="s">
        <v>3564</v>
      </c>
      <c r="I194" s="1">
        <v>34</v>
      </c>
      <c r="J194" s="1">
        <v>60</v>
      </c>
      <c r="K194" s="1">
        <v>5</v>
      </c>
      <c r="L194" s="1">
        <v>33</v>
      </c>
      <c r="M194" s="1" t="s">
        <v>252</v>
      </c>
      <c r="N194" s="1" t="s">
        <v>253</v>
      </c>
      <c r="O194" s="1" t="s">
        <v>254</v>
      </c>
      <c r="P194" s="1" t="s">
        <v>255</v>
      </c>
      <c r="Q194" s="1" t="s">
        <v>256</v>
      </c>
      <c r="R194" s="1">
        <v>41</v>
      </c>
      <c r="S194" s="1">
        <v>3</v>
      </c>
      <c r="T194" s="1" t="s">
        <v>6656</v>
      </c>
      <c r="U194" s="1" t="str">
        <f>HYPERLINK("http://dx.doi.org/10.1007/s40314-022-01791-9","http://dx.doi.org/10.1007/s40314-022-01791-9")</f>
        <v>http://dx.doi.org/10.1007/s40314-022-01791-9</v>
      </c>
      <c r="V194" s="1">
        <v>27</v>
      </c>
      <c r="W194" s="1" t="s">
        <v>260</v>
      </c>
      <c r="X194" s="1" t="s">
        <v>67</v>
      </c>
      <c r="Y194" s="1" t="s">
        <v>137</v>
      </c>
      <c r="Z194" s="1" t="s">
        <v>48</v>
      </c>
      <c r="AA194" s="1" t="s">
        <v>48</v>
      </c>
    </row>
    <row r="195" spans="1:27" s="1" customFormat="1" ht="18.5" x14ac:dyDescent="0.45">
      <c r="A195" s="1" t="s">
        <v>6682</v>
      </c>
      <c r="B195" s="1" t="s">
        <v>6683</v>
      </c>
      <c r="C195" s="1" t="s">
        <v>1401</v>
      </c>
      <c r="D195" s="1" t="s">
        <v>53</v>
      </c>
      <c r="E195" s="2">
        <v>2022</v>
      </c>
      <c r="F195" s="1" t="s">
        <v>6684</v>
      </c>
      <c r="G195" s="1" t="s">
        <v>6685</v>
      </c>
      <c r="H195" s="1" t="s">
        <v>6686</v>
      </c>
      <c r="I195" s="1">
        <v>56</v>
      </c>
      <c r="J195" s="1">
        <v>15</v>
      </c>
      <c r="K195" s="1">
        <v>2</v>
      </c>
      <c r="L195" s="1">
        <v>17</v>
      </c>
      <c r="M195" s="1" t="s">
        <v>1407</v>
      </c>
      <c r="N195" s="1" t="s">
        <v>632</v>
      </c>
      <c r="O195" s="1" t="s">
        <v>1408</v>
      </c>
      <c r="P195" s="1" t="s">
        <v>1409</v>
      </c>
      <c r="Q195" s="1" t="s">
        <v>1410</v>
      </c>
      <c r="R195" s="1">
        <v>324</v>
      </c>
      <c r="S195" s="1" t="s">
        <v>48</v>
      </c>
      <c r="T195" s="1" t="s">
        <v>6687</v>
      </c>
      <c r="U195" s="1" t="str">
        <f>HYPERLINK("http://dx.doi.org/10.1016/j.jenvman.2022.116380","http://dx.doi.org/10.1016/j.jenvman.2022.116380")</f>
        <v>http://dx.doi.org/10.1016/j.jenvman.2022.116380</v>
      </c>
      <c r="V195" s="1">
        <v>11</v>
      </c>
      <c r="W195" s="1" t="s">
        <v>438</v>
      </c>
      <c r="X195" s="1" t="s">
        <v>67</v>
      </c>
      <c r="Y195" s="1" t="s">
        <v>439</v>
      </c>
      <c r="Z195" s="1">
        <v>36208515</v>
      </c>
      <c r="AA195" s="1" t="s">
        <v>48</v>
      </c>
    </row>
    <row r="196" spans="1:27" s="1" customFormat="1" ht="18.5" x14ac:dyDescent="0.45">
      <c r="A196" s="1" t="s">
        <v>6688</v>
      </c>
      <c r="B196" s="1" t="s">
        <v>6689</v>
      </c>
      <c r="C196" s="1" t="s">
        <v>2312</v>
      </c>
      <c r="D196" s="1" t="s">
        <v>53</v>
      </c>
      <c r="E196" s="2">
        <v>2022</v>
      </c>
      <c r="F196" s="1" t="s">
        <v>6690</v>
      </c>
      <c r="G196" s="1" t="s">
        <v>6691</v>
      </c>
      <c r="H196" s="1" t="s">
        <v>2126</v>
      </c>
      <c r="I196" s="1">
        <v>47</v>
      </c>
      <c r="J196" s="1">
        <v>28</v>
      </c>
      <c r="K196" s="1">
        <v>1</v>
      </c>
      <c r="L196" s="1">
        <v>22</v>
      </c>
      <c r="M196" s="1" t="s">
        <v>60</v>
      </c>
      <c r="N196" s="1" t="s">
        <v>158</v>
      </c>
      <c r="O196" s="1" t="s">
        <v>159</v>
      </c>
      <c r="P196" s="1" t="s">
        <v>2314</v>
      </c>
      <c r="Q196" s="1" t="s">
        <v>2315</v>
      </c>
      <c r="R196" s="1">
        <v>353</v>
      </c>
      <c r="S196" s="1" t="s">
        <v>48</v>
      </c>
      <c r="T196" s="1" t="s">
        <v>6692</v>
      </c>
      <c r="U196" s="1" t="str">
        <f>HYPERLINK("http://dx.doi.org/10.1016/j.biortech.2022.127078","http://dx.doi.org/10.1016/j.biortech.2022.127078")</f>
        <v>http://dx.doi.org/10.1016/j.biortech.2022.127078</v>
      </c>
      <c r="V196" s="1">
        <v>13</v>
      </c>
      <c r="W196" s="1" t="s">
        <v>2319</v>
      </c>
      <c r="X196" s="1" t="s">
        <v>67</v>
      </c>
      <c r="Y196" s="1" t="s">
        <v>2320</v>
      </c>
      <c r="Z196" s="1">
        <v>35395367</v>
      </c>
      <c r="AA196" s="1" t="s">
        <v>48</v>
      </c>
    </row>
    <row r="197" spans="1:27" s="1" customFormat="1" ht="18.5" x14ac:dyDescent="0.45">
      <c r="A197" s="1" t="s">
        <v>6693</v>
      </c>
      <c r="B197" s="1" t="s">
        <v>6694</v>
      </c>
      <c r="C197" s="1" t="s">
        <v>6695</v>
      </c>
      <c r="D197" s="1" t="s">
        <v>3750</v>
      </c>
      <c r="E197" s="2">
        <v>2022</v>
      </c>
      <c r="F197" s="1" t="s">
        <v>6696</v>
      </c>
      <c r="G197" s="1" t="s">
        <v>3520</v>
      </c>
      <c r="H197" s="1" t="s">
        <v>6697</v>
      </c>
      <c r="I197" s="1">
        <v>16</v>
      </c>
      <c r="J197" s="1">
        <v>10</v>
      </c>
      <c r="K197" s="1">
        <v>2</v>
      </c>
      <c r="L197" s="1">
        <v>6</v>
      </c>
      <c r="M197" s="1" t="s">
        <v>79</v>
      </c>
      <c r="N197" s="1" t="s">
        <v>80</v>
      </c>
      <c r="O197" s="1" t="s">
        <v>81</v>
      </c>
      <c r="P197" s="1" t="s">
        <v>6698</v>
      </c>
      <c r="Q197" s="1" t="s">
        <v>48</v>
      </c>
      <c r="R197" s="1">
        <v>56</v>
      </c>
      <c r="S197" s="1" t="s">
        <v>48</v>
      </c>
      <c r="T197" s="1" t="s">
        <v>6701</v>
      </c>
      <c r="U197" s="1" t="str">
        <f>HYPERLINK("http://dx.doi.org/10.1016/j.matpr.2021.11.549","http://dx.doi.org/10.1016/j.matpr.2021.11.549")</f>
        <v>http://dx.doi.org/10.1016/j.matpr.2021.11.549</v>
      </c>
      <c r="V197" s="1">
        <v>4</v>
      </c>
      <c r="W197" s="1" t="s">
        <v>1876</v>
      </c>
      <c r="X197" s="1" t="s">
        <v>3758</v>
      </c>
      <c r="Y197" s="1" t="s">
        <v>1877</v>
      </c>
      <c r="Z197" s="1">
        <v>34877264</v>
      </c>
      <c r="AA197" s="1" t="s">
        <v>1325</v>
      </c>
    </row>
    <row r="198" spans="1:27" s="1" customFormat="1" ht="18.5" x14ac:dyDescent="0.45">
      <c r="A198" s="1" t="s">
        <v>6728</v>
      </c>
      <c r="B198" s="1" t="s">
        <v>6729</v>
      </c>
      <c r="C198" s="1" t="s">
        <v>2702</v>
      </c>
      <c r="D198" s="1" t="s">
        <v>53</v>
      </c>
      <c r="E198" s="2">
        <v>2022</v>
      </c>
      <c r="F198" s="1" t="s">
        <v>6730</v>
      </c>
      <c r="G198" s="1" t="s">
        <v>6731</v>
      </c>
      <c r="H198" s="1" t="s">
        <v>6732</v>
      </c>
      <c r="I198" s="1">
        <v>31</v>
      </c>
      <c r="J198" s="1">
        <v>4</v>
      </c>
      <c r="K198" s="1">
        <v>1</v>
      </c>
      <c r="L198" s="1">
        <v>9</v>
      </c>
      <c r="M198" s="1" t="s">
        <v>1183</v>
      </c>
      <c r="N198" s="1" t="s">
        <v>1184</v>
      </c>
      <c r="O198" s="1" t="s">
        <v>1185</v>
      </c>
      <c r="P198" s="1" t="s">
        <v>2707</v>
      </c>
      <c r="Q198" s="1" t="s">
        <v>48</v>
      </c>
      <c r="R198" s="1">
        <v>7</v>
      </c>
      <c r="S198" s="1">
        <v>51</v>
      </c>
      <c r="T198" s="1" t="s">
        <v>6733</v>
      </c>
      <c r="U198" s="1" t="str">
        <f>HYPERLINK("http://dx.doi.org/10.1021/acsomega.2c07173","http://dx.doi.org/10.1021/acsomega.2c07173")</f>
        <v>http://dx.doi.org/10.1021/acsomega.2c07173</v>
      </c>
      <c r="V198" s="1">
        <v>11</v>
      </c>
      <c r="W198" s="1" t="s">
        <v>2292</v>
      </c>
      <c r="X198" s="1" t="s">
        <v>67</v>
      </c>
      <c r="Y198" s="1" t="s">
        <v>2293</v>
      </c>
      <c r="Z198" s="1">
        <v>36591129</v>
      </c>
      <c r="AA198" s="1" t="s">
        <v>337</v>
      </c>
    </row>
    <row r="199" spans="1:27" s="1" customFormat="1" ht="18.5" x14ac:dyDescent="0.45">
      <c r="A199" s="1" t="s">
        <v>6761</v>
      </c>
      <c r="B199" s="1" t="s">
        <v>6762</v>
      </c>
      <c r="C199" s="1" t="s">
        <v>5290</v>
      </c>
      <c r="D199" s="1" t="s">
        <v>53</v>
      </c>
      <c r="E199" s="2">
        <v>2022</v>
      </c>
      <c r="F199" s="1" t="s">
        <v>6763</v>
      </c>
      <c r="G199" s="1" t="s">
        <v>6764</v>
      </c>
      <c r="H199" s="1" t="s">
        <v>6765</v>
      </c>
      <c r="I199" s="1">
        <v>69</v>
      </c>
      <c r="J199" s="1">
        <v>20</v>
      </c>
      <c r="K199" s="1">
        <v>1</v>
      </c>
      <c r="L199" s="1">
        <v>25</v>
      </c>
      <c r="M199" s="1" t="s">
        <v>1523</v>
      </c>
      <c r="N199" s="1" t="s">
        <v>632</v>
      </c>
      <c r="O199" s="1" t="s">
        <v>1524</v>
      </c>
      <c r="P199" s="1" t="s">
        <v>5297</v>
      </c>
      <c r="Q199" s="1" t="s">
        <v>5298</v>
      </c>
      <c r="R199" s="1">
        <v>64</v>
      </c>
      <c r="S199" s="1">
        <v>5</v>
      </c>
      <c r="T199" s="1" t="s">
        <v>6766</v>
      </c>
      <c r="U199" s="1" t="str">
        <f>HYPERLINK("http://dx.doi.org/10.1007/s12033-021-00432-6","http://dx.doi.org/10.1007/s12033-021-00432-6")</f>
        <v>http://dx.doi.org/10.1007/s12033-021-00432-6</v>
      </c>
      <c r="V199" s="1">
        <v>16</v>
      </c>
      <c r="W199" s="1" t="s">
        <v>5300</v>
      </c>
      <c r="X199" s="1" t="s">
        <v>67</v>
      </c>
      <c r="Y199" s="1" t="s">
        <v>5300</v>
      </c>
      <c r="Z199" s="1">
        <v>34981440</v>
      </c>
      <c r="AA199" s="1" t="s">
        <v>1016</v>
      </c>
    </row>
    <row r="200" spans="1:27" s="1" customFormat="1" ht="18.5" x14ac:dyDescent="0.45">
      <c r="A200" s="1" t="s">
        <v>6812</v>
      </c>
      <c r="B200" s="1" t="s">
        <v>6813</v>
      </c>
      <c r="C200" s="1" t="s">
        <v>6814</v>
      </c>
      <c r="D200" s="1" t="s">
        <v>53</v>
      </c>
      <c r="E200" s="2">
        <v>2022</v>
      </c>
      <c r="F200" s="1" t="s">
        <v>6815</v>
      </c>
      <c r="G200" s="1" t="s">
        <v>6816</v>
      </c>
      <c r="H200" s="1" t="s">
        <v>6817</v>
      </c>
      <c r="I200" s="1">
        <v>55</v>
      </c>
      <c r="J200" s="1">
        <v>2</v>
      </c>
      <c r="K200" s="1">
        <v>1</v>
      </c>
      <c r="L200" s="1">
        <v>7</v>
      </c>
      <c r="M200" s="1" t="s">
        <v>2054</v>
      </c>
      <c r="N200" s="1" t="s">
        <v>2055</v>
      </c>
      <c r="O200" s="1" t="s">
        <v>2056</v>
      </c>
      <c r="P200" s="1" t="s">
        <v>6818</v>
      </c>
      <c r="Q200" s="1" t="s">
        <v>6819</v>
      </c>
      <c r="R200" s="1">
        <v>271</v>
      </c>
      <c r="S200" s="1" t="s">
        <v>48</v>
      </c>
      <c r="T200" s="1" t="s">
        <v>6820</v>
      </c>
      <c r="U200" s="1" t="str">
        <f>HYPERLINK("http://dx.doi.org/10.1016/j.ijleo.2022.170040","http://dx.doi.org/10.1016/j.ijleo.2022.170040")</f>
        <v>http://dx.doi.org/10.1016/j.ijleo.2022.170040</v>
      </c>
      <c r="V200" s="1">
        <v>14</v>
      </c>
      <c r="W200" s="1" t="s">
        <v>3015</v>
      </c>
      <c r="X200" s="1" t="s">
        <v>67</v>
      </c>
      <c r="Y200" s="1" t="s">
        <v>3015</v>
      </c>
      <c r="Z200" s="1" t="s">
        <v>48</v>
      </c>
      <c r="AA200" s="1" t="s">
        <v>48</v>
      </c>
    </row>
    <row r="201" spans="1:27" s="1" customFormat="1" ht="18.5" x14ac:dyDescent="0.45">
      <c r="A201" s="1" t="s">
        <v>6886</v>
      </c>
      <c r="B201" s="1" t="s">
        <v>6887</v>
      </c>
      <c r="C201" s="1" t="s">
        <v>6888</v>
      </c>
      <c r="D201" s="1" t="s">
        <v>53</v>
      </c>
      <c r="E201" s="2">
        <v>2022</v>
      </c>
      <c r="F201" s="1" t="s">
        <v>6889</v>
      </c>
      <c r="G201" s="1" t="s">
        <v>6890</v>
      </c>
      <c r="H201" s="1" t="s">
        <v>6891</v>
      </c>
      <c r="I201" s="1">
        <v>58</v>
      </c>
      <c r="J201" s="1">
        <v>8</v>
      </c>
      <c r="K201" s="1">
        <v>1</v>
      </c>
      <c r="L201" s="1">
        <v>8</v>
      </c>
      <c r="M201" s="1" t="s">
        <v>132</v>
      </c>
      <c r="N201" s="1" t="s">
        <v>133</v>
      </c>
      <c r="O201" s="1" t="s">
        <v>134</v>
      </c>
      <c r="P201" s="1" t="s">
        <v>6892</v>
      </c>
      <c r="Q201" s="1" t="s">
        <v>6893</v>
      </c>
      <c r="R201" s="1">
        <v>15</v>
      </c>
      <c r="S201" s="1">
        <v>6</v>
      </c>
      <c r="T201" s="1" t="s">
        <v>6894</v>
      </c>
      <c r="U201" s="1" t="str">
        <f>HYPERLINK("http://dx.doi.org/10.3390/jrfm15060239","http://dx.doi.org/10.3390/jrfm15060239")</f>
        <v>http://dx.doi.org/10.3390/jrfm15060239</v>
      </c>
      <c r="V201" s="1">
        <v>19</v>
      </c>
      <c r="W201" s="1" t="s">
        <v>6895</v>
      </c>
      <c r="X201" s="1" t="s">
        <v>124</v>
      </c>
      <c r="Y201" s="1" t="s">
        <v>510</v>
      </c>
      <c r="Z201" s="1" t="s">
        <v>48</v>
      </c>
      <c r="AA201" s="1" t="s">
        <v>366</v>
      </c>
    </row>
    <row r="202" spans="1:27" s="1" customFormat="1" ht="18.5" x14ac:dyDescent="0.45">
      <c r="A202" s="1" t="s">
        <v>6896</v>
      </c>
      <c r="B202" s="1" t="s">
        <v>6897</v>
      </c>
      <c r="C202" s="1" t="s">
        <v>6898</v>
      </c>
      <c r="D202" s="1" t="s">
        <v>53</v>
      </c>
      <c r="E202" s="2">
        <v>2022</v>
      </c>
      <c r="F202" s="1" t="s">
        <v>6899</v>
      </c>
      <c r="G202" s="1" t="s">
        <v>6900</v>
      </c>
      <c r="H202" s="1" t="s">
        <v>3564</v>
      </c>
      <c r="I202" s="1">
        <v>45</v>
      </c>
      <c r="J202" s="1">
        <v>22</v>
      </c>
      <c r="K202" s="1">
        <v>7</v>
      </c>
      <c r="L202" s="1">
        <v>20</v>
      </c>
      <c r="M202" s="1" t="s">
        <v>347</v>
      </c>
      <c r="N202" s="1" t="s">
        <v>348</v>
      </c>
      <c r="O202" s="1" t="s">
        <v>349</v>
      </c>
      <c r="P202" s="1" t="s">
        <v>6901</v>
      </c>
      <c r="Q202" s="1" t="s">
        <v>6902</v>
      </c>
      <c r="R202" s="1">
        <v>37</v>
      </c>
      <c r="S202" s="1">
        <v>11</v>
      </c>
      <c r="T202" s="1" t="s">
        <v>6905</v>
      </c>
      <c r="U202" s="1" t="str">
        <f>HYPERLINK("http://dx.doi.org/10.1002/int.23003","http://dx.doi.org/10.1002/int.23003")</f>
        <v>http://dx.doi.org/10.1002/int.23003</v>
      </c>
      <c r="V202" s="1">
        <v>24</v>
      </c>
      <c r="W202" s="1" t="s">
        <v>549</v>
      </c>
      <c r="X202" s="1" t="s">
        <v>67</v>
      </c>
      <c r="Y202" s="1" t="s">
        <v>292</v>
      </c>
      <c r="Z202" s="1" t="s">
        <v>48</v>
      </c>
      <c r="AA202" s="1" t="s">
        <v>48</v>
      </c>
    </row>
    <row r="203" spans="1:27" s="1" customFormat="1" ht="18.5" x14ac:dyDescent="0.45">
      <c r="A203" s="1" t="s">
        <v>6978</v>
      </c>
      <c r="B203" s="1" t="s">
        <v>6979</v>
      </c>
      <c r="C203" s="1" t="s">
        <v>6980</v>
      </c>
      <c r="D203" s="1" t="s">
        <v>53</v>
      </c>
      <c r="E203" s="2">
        <v>2022</v>
      </c>
      <c r="F203" s="1" t="s">
        <v>6981</v>
      </c>
      <c r="G203" s="1" t="s">
        <v>6982</v>
      </c>
      <c r="H203" s="1" t="s">
        <v>6983</v>
      </c>
      <c r="I203" s="1">
        <v>48</v>
      </c>
      <c r="J203" s="1">
        <v>0</v>
      </c>
      <c r="K203" s="1">
        <v>1</v>
      </c>
      <c r="L203" s="1">
        <v>4</v>
      </c>
      <c r="M203" s="1" t="s">
        <v>252</v>
      </c>
      <c r="N203" s="1" t="s">
        <v>253</v>
      </c>
      <c r="O203" s="1" t="s">
        <v>254</v>
      </c>
      <c r="P203" s="1" t="s">
        <v>6984</v>
      </c>
      <c r="Q203" s="1" t="s">
        <v>6985</v>
      </c>
      <c r="R203" s="1">
        <v>12</v>
      </c>
      <c r="S203" s="1">
        <v>12</v>
      </c>
      <c r="T203" s="1" t="s">
        <v>6986</v>
      </c>
      <c r="U203" s="1" t="str">
        <f>HYPERLINK("http://dx.doi.org/10.1007/s13204-022-02630-3","http://dx.doi.org/10.1007/s13204-022-02630-3")</f>
        <v>http://dx.doi.org/10.1007/s13204-022-02630-3</v>
      </c>
      <c r="V203" s="1">
        <v>8</v>
      </c>
      <c r="W203" s="1" t="s">
        <v>2553</v>
      </c>
      <c r="X203" s="1" t="s">
        <v>67</v>
      </c>
      <c r="Y203" s="1" t="s">
        <v>336</v>
      </c>
      <c r="Z203" s="1" t="s">
        <v>48</v>
      </c>
      <c r="AA203" s="1" t="s">
        <v>48</v>
      </c>
    </row>
    <row r="204" spans="1:27" s="1" customFormat="1" ht="18.5" x14ac:dyDescent="0.45">
      <c r="A204" s="1" t="s">
        <v>6993</v>
      </c>
      <c r="B204" s="1" t="s">
        <v>6994</v>
      </c>
      <c r="C204" s="1" t="s">
        <v>6995</v>
      </c>
      <c r="D204" s="1" t="s">
        <v>53</v>
      </c>
      <c r="E204" s="2">
        <v>2022</v>
      </c>
      <c r="F204" s="1" t="s">
        <v>6996</v>
      </c>
      <c r="G204" s="1" t="s">
        <v>6997</v>
      </c>
      <c r="H204" s="1" t="s">
        <v>6998</v>
      </c>
      <c r="I204" s="1">
        <v>114</v>
      </c>
      <c r="J204" s="1">
        <v>9</v>
      </c>
      <c r="K204" s="1">
        <v>2</v>
      </c>
      <c r="L204" s="1">
        <v>16</v>
      </c>
      <c r="M204" s="1" t="s">
        <v>145</v>
      </c>
      <c r="N204" s="1" t="s">
        <v>146</v>
      </c>
      <c r="O204" s="1" t="s">
        <v>147</v>
      </c>
      <c r="P204" s="1" t="s">
        <v>6999</v>
      </c>
      <c r="Q204" s="1" t="s">
        <v>7000</v>
      </c>
      <c r="R204" s="1">
        <v>51</v>
      </c>
      <c r="S204" s="1">
        <v>3</v>
      </c>
      <c r="T204" s="1" t="s">
        <v>7001</v>
      </c>
      <c r="U204" s="1" t="str">
        <f>HYPERLINK("http://dx.doi.org/10.1080/00913367.2022.2031353","http://dx.doi.org/10.1080/00913367.2022.2031353")</f>
        <v>http://dx.doi.org/10.1080/00913367.2022.2031353</v>
      </c>
      <c r="V204" s="1">
        <v>16</v>
      </c>
      <c r="W204" s="1" t="s">
        <v>7002</v>
      </c>
      <c r="X204" s="1" t="s">
        <v>106</v>
      </c>
      <c r="Y204" s="1" t="s">
        <v>7003</v>
      </c>
      <c r="Z204" s="1" t="s">
        <v>48</v>
      </c>
      <c r="AA204" s="1" t="s">
        <v>48</v>
      </c>
    </row>
    <row r="205" spans="1:27" s="1" customFormat="1" ht="18.5" x14ac:dyDescent="0.45">
      <c r="A205" s="1" t="s">
        <v>7032</v>
      </c>
      <c r="B205" s="1" t="s">
        <v>7033</v>
      </c>
      <c r="C205" s="1" t="s">
        <v>7034</v>
      </c>
      <c r="D205" s="1" t="s">
        <v>53</v>
      </c>
      <c r="E205" s="2">
        <v>2022</v>
      </c>
      <c r="F205" s="1" t="s">
        <v>7035</v>
      </c>
      <c r="G205" s="1" t="s">
        <v>7036</v>
      </c>
      <c r="H205" s="1" t="s">
        <v>7037</v>
      </c>
      <c r="I205" s="1">
        <v>96</v>
      </c>
      <c r="J205" s="1">
        <v>13</v>
      </c>
      <c r="K205" s="1">
        <v>0</v>
      </c>
      <c r="L205" s="1">
        <v>2</v>
      </c>
      <c r="M205" s="1" t="s">
        <v>4276</v>
      </c>
      <c r="N205" s="1" t="s">
        <v>4277</v>
      </c>
      <c r="O205" s="1" t="s">
        <v>4278</v>
      </c>
      <c r="P205" s="1" t="s">
        <v>7038</v>
      </c>
      <c r="Q205" s="1" t="s">
        <v>7039</v>
      </c>
      <c r="R205" s="1">
        <v>50</v>
      </c>
      <c r="S205" s="1">
        <v>6</v>
      </c>
      <c r="T205" s="1" t="s">
        <v>7040</v>
      </c>
      <c r="U205" s="1" t="str">
        <f>HYPERLINK("http://dx.doi.org/10.1109/TPS.2022.3148183","http://dx.doi.org/10.1109/TPS.2022.3148183")</f>
        <v>http://dx.doi.org/10.1109/TPS.2022.3148183</v>
      </c>
      <c r="V205" s="1">
        <v>13</v>
      </c>
      <c r="W205" s="1" t="s">
        <v>7041</v>
      </c>
      <c r="X205" s="1" t="s">
        <v>67</v>
      </c>
      <c r="Y205" s="1" t="s">
        <v>670</v>
      </c>
      <c r="Z205" s="1" t="s">
        <v>48</v>
      </c>
      <c r="AA205" s="1" t="s">
        <v>48</v>
      </c>
    </row>
    <row r="206" spans="1:27" s="1" customFormat="1" ht="18.5" x14ac:dyDescent="0.45">
      <c r="A206" s="1" t="s">
        <v>7042</v>
      </c>
      <c r="B206" s="1" t="s">
        <v>7043</v>
      </c>
      <c r="C206" s="1" t="s">
        <v>7044</v>
      </c>
      <c r="D206" s="1" t="s">
        <v>585</v>
      </c>
      <c r="E206" s="2">
        <v>2022</v>
      </c>
      <c r="F206" s="1" t="s">
        <v>7045</v>
      </c>
      <c r="G206" s="1" t="s">
        <v>7046</v>
      </c>
      <c r="H206" s="1" t="s">
        <v>7047</v>
      </c>
      <c r="I206" s="1">
        <v>19</v>
      </c>
      <c r="J206" s="1">
        <v>0</v>
      </c>
      <c r="K206" s="1">
        <v>0</v>
      </c>
      <c r="L206" s="1">
        <v>0</v>
      </c>
      <c r="M206" s="1" t="s">
        <v>7048</v>
      </c>
      <c r="N206" s="1" t="s">
        <v>3598</v>
      </c>
      <c r="O206" s="1" t="s">
        <v>7049</v>
      </c>
      <c r="P206" s="1" t="s">
        <v>48</v>
      </c>
      <c r="Q206" s="1" t="s">
        <v>48</v>
      </c>
      <c r="R206" s="1" t="s">
        <v>48</v>
      </c>
      <c r="S206" s="1" t="s">
        <v>48</v>
      </c>
      <c r="T206" s="1" t="s">
        <v>48</v>
      </c>
      <c r="U206" s="1" t="s">
        <v>48</v>
      </c>
      <c r="V206" s="1">
        <v>16</v>
      </c>
      <c r="W206" s="1" t="s">
        <v>7050</v>
      </c>
      <c r="X206" s="1" t="s">
        <v>592</v>
      </c>
      <c r="Y206" s="1" t="s">
        <v>7050</v>
      </c>
      <c r="Z206" s="1" t="s">
        <v>48</v>
      </c>
      <c r="AA206" s="1" t="s">
        <v>48</v>
      </c>
    </row>
    <row r="207" spans="1:27" s="1" customFormat="1" ht="18.5" x14ac:dyDescent="0.45">
      <c r="A207" s="1" t="s">
        <v>7072</v>
      </c>
      <c r="B207" s="1" t="s">
        <v>7073</v>
      </c>
      <c r="C207" s="1" t="s">
        <v>7074</v>
      </c>
      <c r="D207" s="1" t="s">
        <v>53</v>
      </c>
      <c r="E207" s="2">
        <v>2022</v>
      </c>
      <c r="F207" s="1" t="s">
        <v>7075</v>
      </c>
      <c r="G207" s="1" t="s">
        <v>7076</v>
      </c>
      <c r="H207" s="1" t="s">
        <v>7077</v>
      </c>
      <c r="I207" s="1">
        <v>106</v>
      </c>
      <c r="J207" s="1">
        <v>21</v>
      </c>
      <c r="K207" s="1">
        <v>1</v>
      </c>
      <c r="L207" s="1">
        <v>10</v>
      </c>
      <c r="M207" s="1" t="s">
        <v>631</v>
      </c>
      <c r="N207" s="1" t="s">
        <v>632</v>
      </c>
      <c r="O207" s="1" t="s">
        <v>633</v>
      </c>
      <c r="P207" s="1" t="s">
        <v>48</v>
      </c>
      <c r="Q207" s="1" t="s">
        <v>7078</v>
      </c>
      <c r="R207" s="1">
        <v>22</v>
      </c>
      <c r="S207" s="1">
        <v>1</v>
      </c>
      <c r="T207" s="1" t="s">
        <v>7079</v>
      </c>
      <c r="U207" s="1" t="str">
        <f>HYPERLINK("http://dx.doi.org/10.1186/s12906-022-03513-4","http://dx.doi.org/10.1186/s12906-022-03513-4")</f>
        <v>http://dx.doi.org/10.1186/s12906-022-03513-4</v>
      </c>
      <c r="V207" s="1">
        <v>18</v>
      </c>
      <c r="W207" s="1" t="s">
        <v>7080</v>
      </c>
      <c r="X207" s="1" t="s">
        <v>67</v>
      </c>
      <c r="Y207" s="1" t="s">
        <v>7080</v>
      </c>
      <c r="Z207" s="1">
        <v>35152903</v>
      </c>
      <c r="AA207" s="1" t="s">
        <v>366</v>
      </c>
    </row>
    <row r="208" spans="1:27" s="1" customFormat="1" ht="18.5" x14ac:dyDescent="0.45">
      <c r="A208" s="1" t="s">
        <v>7149</v>
      </c>
      <c r="B208" s="1" t="s">
        <v>7150</v>
      </c>
      <c r="C208" s="1" t="s">
        <v>5972</v>
      </c>
      <c r="D208" s="1" t="s">
        <v>53</v>
      </c>
      <c r="E208" s="2">
        <v>2022</v>
      </c>
      <c r="F208" s="1" t="s">
        <v>7151</v>
      </c>
      <c r="G208" s="1" t="s">
        <v>7152</v>
      </c>
      <c r="H208" s="1" t="s">
        <v>7153</v>
      </c>
      <c r="I208" s="1">
        <v>48</v>
      </c>
      <c r="J208" s="1">
        <v>1</v>
      </c>
      <c r="K208" s="1">
        <v>0</v>
      </c>
      <c r="L208" s="1">
        <v>11</v>
      </c>
      <c r="M208" s="1" t="s">
        <v>132</v>
      </c>
      <c r="N208" s="1" t="s">
        <v>133</v>
      </c>
      <c r="O208" s="1" t="s">
        <v>838</v>
      </c>
      <c r="P208" s="1" t="s">
        <v>48</v>
      </c>
      <c r="Q208" s="1" t="s">
        <v>5975</v>
      </c>
      <c r="R208" s="1">
        <v>14</v>
      </c>
      <c r="S208" s="1">
        <v>13</v>
      </c>
      <c r="T208" s="1" t="s">
        <v>7154</v>
      </c>
      <c r="U208" s="1" t="str">
        <f>HYPERLINK("http://dx.doi.org/10.3390/su14137923","http://dx.doi.org/10.3390/su14137923")</f>
        <v>http://dx.doi.org/10.3390/su14137923</v>
      </c>
      <c r="V208" s="1">
        <v>16</v>
      </c>
      <c r="W208" s="1" t="s">
        <v>5977</v>
      </c>
      <c r="X208" s="1" t="s">
        <v>944</v>
      </c>
      <c r="Y208" s="1" t="s">
        <v>723</v>
      </c>
      <c r="Z208" s="1" t="s">
        <v>48</v>
      </c>
      <c r="AA208" s="1" t="s">
        <v>125</v>
      </c>
    </row>
    <row r="209" spans="1:27" s="1" customFormat="1" ht="18.5" x14ac:dyDescent="0.45">
      <c r="A209" s="1" t="s">
        <v>7230</v>
      </c>
      <c r="B209" s="1" t="s">
        <v>7231</v>
      </c>
      <c r="C209" s="1" t="s">
        <v>7232</v>
      </c>
      <c r="D209" s="1" t="s">
        <v>53</v>
      </c>
      <c r="E209" s="2">
        <v>2022</v>
      </c>
      <c r="F209" s="1" t="s">
        <v>7233</v>
      </c>
      <c r="G209" s="1" t="s">
        <v>7234</v>
      </c>
      <c r="H209" s="1" t="s">
        <v>7235</v>
      </c>
      <c r="I209" s="1">
        <v>67</v>
      </c>
      <c r="J209" s="1">
        <v>8</v>
      </c>
      <c r="K209" s="1">
        <v>0</v>
      </c>
      <c r="L209" s="1">
        <v>11</v>
      </c>
      <c r="M209" s="1" t="s">
        <v>79</v>
      </c>
      <c r="N209" s="1" t="s">
        <v>80</v>
      </c>
      <c r="O209" s="1" t="s">
        <v>81</v>
      </c>
      <c r="P209" s="1" t="s">
        <v>7236</v>
      </c>
      <c r="Q209" s="1" t="s">
        <v>7237</v>
      </c>
      <c r="R209" s="1">
        <v>76</v>
      </c>
      <c r="S209" s="1" t="s">
        <v>48</v>
      </c>
      <c r="T209" s="1" t="s">
        <v>7240</v>
      </c>
      <c r="U209" s="1" t="str">
        <f>HYPERLINK("http://dx.doi.org/10.1016/j.jddst.2022.103743","http://dx.doi.org/10.1016/j.jddst.2022.103743")</f>
        <v>http://dx.doi.org/10.1016/j.jddst.2022.103743</v>
      </c>
      <c r="V209" s="1">
        <v>15</v>
      </c>
      <c r="W209" s="1" t="s">
        <v>1324</v>
      </c>
      <c r="X209" s="1" t="s">
        <v>67</v>
      </c>
      <c r="Y209" s="1" t="s">
        <v>1324</v>
      </c>
      <c r="Z209" s="1" t="s">
        <v>48</v>
      </c>
      <c r="AA209" s="1" t="s">
        <v>550</v>
      </c>
    </row>
    <row r="210" spans="1:27" s="1" customFormat="1" ht="18.5" x14ac:dyDescent="0.45">
      <c r="A210" s="1" t="s">
        <v>7264</v>
      </c>
      <c r="B210" s="1" t="s">
        <v>7265</v>
      </c>
      <c r="C210" s="1" t="s">
        <v>3916</v>
      </c>
      <c r="D210" s="1" t="s">
        <v>53</v>
      </c>
      <c r="E210" s="2">
        <v>2022</v>
      </c>
      <c r="F210" s="1" t="s">
        <v>7266</v>
      </c>
      <c r="G210" s="1" t="s">
        <v>7267</v>
      </c>
      <c r="H210" s="1" t="s">
        <v>7268</v>
      </c>
      <c r="I210" s="1">
        <v>38</v>
      </c>
      <c r="J210" s="1">
        <v>3</v>
      </c>
      <c r="K210" s="1">
        <v>1</v>
      </c>
      <c r="L210" s="1">
        <v>3</v>
      </c>
      <c r="M210" s="1" t="s">
        <v>252</v>
      </c>
      <c r="N210" s="1" t="s">
        <v>253</v>
      </c>
      <c r="O210" s="1" t="s">
        <v>254</v>
      </c>
      <c r="P210" s="1" t="s">
        <v>3919</v>
      </c>
      <c r="Q210" s="1" t="s">
        <v>3920</v>
      </c>
      <c r="R210" s="1">
        <v>24</v>
      </c>
      <c r="S210" s="1">
        <v>3</v>
      </c>
      <c r="T210" s="1" t="s">
        <v>7269</v>
      </c>
      <c r="U210" s="1" t="str">
        <f>HYPERLINK("http://dx.doi.org/10.1007/s40815-021-01205-8","http://dx.doi.org/10.1007/s40815-021-01205-8")</f>
        <v>http://dx.doi.org/10.1007/s40815-021-01205-8</v>
      </c>
      <c r="V210" s="1">
        <v>15</v>
      </c>
      <c r="W210" s="1" t="s">
        <v>3922</v>
      </c>
      <c r="X210" s="1" t="s">
        <v>67</v>
      </c>
      <c r="Y210" s="1" t="s">
        <v>3923</v>
      </c>
      <c r="Z210" s="1" t="s">
        <v>48</v>
      </c>
      <c r="AA210" s="1" t="s">
        <v>48</v>
      </c>
    </row>
    <row r="211" spans="1:27" s="1" customFormat="1" ht="18.5" x14ac:dyDescent="0.45">
      <c r="A211" s="1" t="s">
        <v>7270</v>
      </c>
      <c r="B211" s="1" t="s">
        <v>7271</v>
      </c>
      <c r="C211" s="1" t="s">
        <v>5412</v>
      </c>
      <c r="D211" s="1" t="s">
        <v>53</v>
      </c>
      <c r="E211" s="2">
        <v>2022</v>
      </c>
      <c r="F211" s="1" t="s">
        <v>7272</v>
      </c>
      <c r="G211" s="1" t="s">
        <v>7273</v>
      </c>
      <c r="H211" s="1" t="s">
        <v>7274</v>
      </c>
      <c r="I211" s="1">
        <v>51</v>
      </c>
      <c r="J211" s="1">
        <v>6</v>
      </c>
      <c r="K211" s="1">
        <v>1</v>
      </c>
      <c r="L211" s="1">
        <v>6</v>
      </c>
      <c r="M211" s="1" t="s">
        <v>215</v>
      </c>
      <c r="N211" s="1" t="s">
        <v>158</v>
      </c>
      <c r="O211" s="1" t="s">
        <v>216</v>
      </c>
      <c r="P211" s="1" t="s">
        <v>5419</v>
      </c>
      <c r="Q211" s="1" t="s">
        <v>5420</v>
      </c>
      <c r="R211" s="1">
        <v>222</v>
      </c>
      <c r="S211" s="1" t="s">
        <v>48</v>
      </c>
      <c r="T211" s="1" t="s">
        <v>7275</v>
      </c>
      <c r="U211" s="1" t="str">
        <f>HYPERLINK("http://dx.doi.org/10.1016/j.poly.2022.115888","http://dx.doi.org/10.1016/j.poly.2022.115888")</f>
        <v>http://dx.doi.org/10.1016/j.poly.2022.115888</v>
      </c>
      <c r="V211" s="1">
        <v>11</v>
      </c>
      <c r="W211" s="1" t="s">
        <v>5423</v>
      </c>
      <c r="X211" s="1" t="s">
        <v>67</v>
      </c>
      <c r="Y211" s="1" t="s">
        <v>5424</v>
      </c>
      <c r="Z211" s="1" t="s">
        <v>48</v>
      </c>
      <c r="AA211" s="1" t="s">
        <v>48</v>
      </c>
    </row>
    <row r="212" spans="1:27" s="1" customFormat="1" ht="18.5" x14ac:dyDescent="0.45">
      <c r="A212" s="1" t="s">
        <v>7276</v>
      </c>
      <c r="B212" s="1" t="s">
        <v>7277</v>
      </c>
      <c r="C212" s="1" t="s">
        <v>7278</v>
      </c>
      <c r="D212" s="1" t="s">
        <v>53</v>
      </c>
      <c r="E212" s="2">
        <v>2022</v>
      </c>
      <c r="F212" s="1" t="s">
        <v>7279</v>
      </c>
      <c r="G212" s="1" t="s">
        <v>7280</v>
      </c>
      <c r="H212" s="1" t="s">
        <v>7281</v>
      </c>
      <c r="I212" s="1">
        <v>150</v>
      </c>
      <c r="J212" s="1">
        <v>4</v>
      </c>
      <c r="K212" s="1">
        <v>1</v>
      </c>
      <c r="L212" s="1">
        <v>11</v>
      </c>
      <c r="M212" s="1" t="s">
        <v>7282</v>
      </c>
      <c r="N212" s="1" t="s">
        <v>7283</v>
      </c>
      <c r="O212" s="1" t="s">
        <v>7284</v>
      </c>
      <c r="P212" s="1" t="s">
        <v>7285</v>
      </c>
      <c r="Q212" s="1" t="s">
        <v>48</v>
      </c>
      <c r="R212" s="1">
        <v>13</v>
      </c>
      <c r="S212" s="1">
        <v>12</v>
      </c>
      <c r="T212" s="1" t="s">
        <v>7286</v>
      </c>
      <c r="U212" s="1" t="str">
        <f>HYPERLINK("http://dx.doi.org/10.1016/j.apr.2022.101614","http://dx.doi.org/10.1016/j.apr.2022.101614")</f>
        <v>http://dx.doi.org/10.1016/j.apr.2022.101614</v>
      </c>
      <c r="V212" s="1">
        <v>16</v>
      </c>
      <c r="W212" s="1" t="s">
        <v>438</v>
      </c>
      <c r="X212" s="1" t="s">
        <v>67</v>
      </c>
      <c r="Y212" s="1" t="s">
        <v>439</v>
      </c>
      <c r="Z212" s="1" t="s">
        <v>48</v>
      </c>
      <c r="AA212" s="1" t="s">
        <v>550</v>
      </c>
    </row>
    <row r="213" spans="1:27" s="1" customFormat="1" ht="18.5" x14ac:dyDescent="0.45">
      <c r="A213" s="1" t="s">
        <v>7287</v>
      </c>
      <c r="B213" s="1" t="s">
        <v>7288</v>
      </c>
      <c r="C213" s="1" t="s">
        <v>7289</v>
      </c>
      <c r="D213" s="1" t="s">
        <v>53</v>
      </c>
      <c r="E213" s="2">
        <v>2022</v>
      </c>
      <c r="F213" s="1" t="s">
        <v>7290</v>
      </c>
      <c r="G213" s="1" t="s">
        <v>7291</v>
      </c>
      <c r="H213" s="1" t="s">
        <v>7292</v>
      </c>
      <c r="I213" s="1">
        <v>70</v>
      </c>
      <c r="J213" s="1">
        <v>22</v>
      </c>
      <c r="K213" s="1">
        <v>10</v>
      </c>
      <c r="L213" s="1">
        <v>67</v>
      </c>
      <c r="M213" s="1" t="s">
        <v>60</v>
      </c>
      <c r="N213" s="1" t="s">
        <v>158</v>
      </c>
      <c r="O213" s="1" t="s">
        <v>159</v>
      </c>
      <c r="P213" s="1" t="s">
        <v>7293</v>
      </c>
      <c r="Q213" s="1" t="s">
        <v>7294</v>
      </c>
      <c r="R213" s="1">
        <v>142</v>
      </c>
      <c r="S213" s="1" t="s">
        <v>48</v>
      </c>
      <c r="T213" s="1" t="s">
        <v>7295</v>
      </c>
      <c r="U213" s="1" t="str">
        <f>HYPERLINK("http://dx.doi.org/10.1016/j.foodcont.2022.109253","http://dx.doi.org/10.1016/j.foodcont.2022.109253")</f>
        <v>http://dx.doi.org/10.1016/j.foodcont.2022.109253</v>
      </c>
      <c r="V213" s="1">
        <v>9</v>
      </c>
      <c r="W213" s="1" t="s">
        <v>2971</v>
      </c>
      <c r="X213" s="1" t="s">
        <v>67</v>
      </c>
      <c r="Y213" s="1" t="s">
        <v>2971</v>
      </c>
      <c r="Z213" s="1" t="s">
        <v>48</v>
      </c>
      <c r="AA213" s="1" t="s">
        <v>48</v>
      </c>
    </row>
    <row r="214" spans="1:27" s="1" customFormat="1" ht="18.5" x14ac:dyDescent="0.45">
      <c r="A214" s="1" t="s">
        <v>7296</v>
      </c>
      <c r="B214" s="1" t="s">
        <v>7297</v>
      </c>
      <c r="C214" s="1" t="s">
        <v>7298</v>
      </c>
      <c r="D214" s="1" t="s">
        <v>53</v>
      </c>
      <c r="E214" s="2">
        <v>2022</v>
      </c>
      <c r="F214" s="1" t="s">
        <v>7299</v>
      </c>
      <c r="G214" s="1" t="s">
        <v>7300</v>
      </c>
      <c r="H214" s="1" t="s">
        <v>7301</v>
      </c>
      <c r="I214" s="1">
        <v>102</v>
      </c>
      <c r="J214" s="1">
        <v>8</v>
      </c>
      <c r="K214" s="1">
        <v>0</v>
      </c>
      <c r="L214" s="1">
        <v>2</v>
      </c>
      <c r="M214" s="1" t="s">
        <v>79</v>
      </c>
      <c r="N214" s="1" t="s">
        <v>80</v>
      </c>
      <c r="O214" s="1" t="s">
        <v>81</v>
      </c>
      <c r="P214" s="1" t="s">
        <v>7302</v>
      </c>
      <c r="Q214" s="1" t="s">
        <v>7303</v>
      </c>
      <c r="R214" s="1">
        <v>99</v>
      </c>
      <c r="S214" s="1" t="s">
        <v>48</v>
      </c>
      <c r="T214" s="1" t="s">
        <v>7306</v>
      </c>
      <c r="U214" s="1" t="str">
        <f>HYPERLINK("http://dx.doi.org/10.1016/j.meegid.2022.105245","http://dx.doi.org/10.1016/j.meegid.2022.105245")</f>
        <v>http://dx.doi.org/10.1016/j.meegid.2022.105245</v>
      </c>
      <c r="V214" s="1">
        <v>16</v>
      </c>
      <c r="W214" s="1" t="s">
        <v>1757</v>
      </c>
      <c r="X214" s="1" t="s">
        <v>67</v>
      </c>
      <c r="Y214" s="1" t="s">
        <v>1757</v>
      </c>
      <c r="Z214" s="1">
        <v>35150891</v>
      </c>
      <c r="AA214" s="1" t="s">
        <v>125</v>
      </c>
    </row>
    <row r="215" spans="1:27" s="1" customFormat="1" ht="18.5" x14ac:dyDescent="0.45">
      <c r="A215" s="1" t="s">
        <v>7349</v>
      </c>
      <c r="B215" s="1" t="s">
        <v>7350</v>
      </c>
      <c r="C215" s="1" t="s">
        <v>5667</v>
      </c>
      <c r="D215" s="1" t="s">
        <v>53</v>
      </c>
      <c r="E215" s="2">
        <v>2022</v>
      </c>
      <c r="F215" s="1" t="s">
        <v>7351</v>
      </c>
      <c r="G215" s="1" t="s">
        <v>7352</v>
      </c>
      <c r="H215" s="1" t="s">
        <v>7353</v>
      </c>
      <c r="I215" s="1">
        <v>76</v>
      </c>
      <c r="J215" s="1">
        <v>2</v>
      </c>
      <c r="K215" s="1">
        <v>2</v>
      </c>
      <c r="L215" s="1">
        <v>4</v>
      </c>
      <c r="M215" s="1" t="s">
        <v>503</v>
      </c>
      <c r="N215" s="1" t="s">
        <v>542</v>
      </c>
      <c r="O215" s="1" t="s">
        <v>543</v>
      </c>
      <c r="P215" s="1" t="s">
        <v>5671</v>
      </c>
      <c r="Q215" s="1" t="s">
        <v>5672</v>
      </c>
      <c r="R215" s="1">
        <v>28</v>
      </c>
      <c r="S215" s="1">
        <v>1</v>
      </c>
      <c r="T215" s="1" t="s">
        <v>7354</v>
      </c>
      <c r="U215" s="1" t="str">
        <f>HYPERLINK("http://dx.doi.org/10.1007/s10989-021-10322-9","http://dx.doi.org/10.1007/s10989-021-10322-9")</f>
        <v>http://dx.doi.org/10.1007/s10989-021-10322-9</v>
      </c>
      <c r="V215" s="1">
        <v>15</v>
      </c>
      <c r="W215" s="1" t="s">
        <v>5596</v>
      </c>
      <c r="X215" s="1" t="s">
        <v>67</v>
      </c>
      <c r="Y215" s="1" t="s">
        <v>5596</v>
      </c>
      <c r="Z215" s="1">
        <v>34867129</v>
      </c>
      <c r="AA215" s="1" t="s">
        <v>1016</v>
      </c>
    </row>
    <row r="216" spans="1:27" s="1" customFormat="1" ht="18.5" x14ac:dyDescent="0.45">
      <c r="A216" s="1" t="s">
        <v>7476</v>
      </c>
      <c r="B216" s="1" t="s">
        <v>7477</v>
      </c>
      <c r="C216" s="1" t="s">
        <v>7478</v>
      </c>
      <c r="D216" s="1" t="s">
        <v>53</v>
      </c>
      <c r="E216" s="2">
        <v>2022</v>
      </c>
      <c r="F216" s="1" t="s">
        <v>7479</v>
      </c>
      <c r="G216" s="1" t="s">
        <v>7480</v>
      </c>
      <c r="H216" s="1" t="s">
        <v>7481</v>
      </c>
      <c r="I216" s="1">
        <v>93</v>
      </c>
      <c r="J216" s="1">
        <v>19</v>
      </c>
      <c r="K216" s="1">
        <v>3</v>
      </c>
      <c r="L216" s="1">
        <v>27</v>
      </c>
      <c r="M216" s="1" t="s">
        <v>198</v>
      </c>
      <c r="N216" s="1" t="s">
        <v>146</v>
      </c>
      <c r="O216" s="1" t="s">
        <v>199</v>
      </c>
      <c r="P216" s="1" t="s">
        <v>7482</v>
      </c>
      <c r="Q216" s="1" t="s">
        <v>7483</v>
      </c>
      <c r="R216" s="1">
        <v>13</v>
      </c>
      <c r="S216" s="1">
        <v>1</v>
      </c>
      <c r="T216" s="1" t="s">
        <v>7486</v>
      </c>
      <c r="U216" s="1" t="str">
        <f>HYPERLINK("http://dx.doi.org/10.1080/19475705.2022.2070552","http://dx.doi.org/10.1080/19475705.2022.2070552")</f>
        <v>http://dx.doi.org/10.1080/19475705.2022.2070552</v>
      </c>
      <c r="V216" s="1">
        <v>29</v>
      </c>
      <c r="W216" s="1" t="s">
        <v>7487</v>
      </c>
      <c r="X216" s="1" t="s">
        <v>67</v>
      </c>
      <c r="Y216" s="1" t="s">
        <v>7488</v>
      </c>
      <c r="Z216" s="1" t="s">
        <v>48</v>
      </c>
      <c r="AA216" s="1" t="s">
        <v>125</v>
      </c>
    </row>
    <row r="217" spans="1:27" s="1" customFormat="1" ht="18.5" x14ac:dyDescent="0.45">
      <c r="A217" s="1" t="s">
        <v>7572</v>
      </c>
      <c r="B217" s="1" t="s">
        <v>7573</v>
      </c>
      <c r="C217" s="1" t="s">
        <v>820</v>
      </c>
      <c r="D217" s="1" t="s">
        <v>53</v>
      </c>
      <c r="E217" s="2">
        <v>2022</v>
      </c>
      <c r="F217" s="1" t="s">
        <v>7574</v>
      </c>
      <c r="G217" s="1" t="s">
        <v>7575</v>
      </c>
      <c r="H217" s="1" t="s">
        <v>7576</v>
      </c>
      <c r="I217" s="1">
        <v>53</v>
      </c>
      <c r="J217" s="1">
        <v>13</v>
      </c>
      <c r="K217" s="1">
        <v>4</v>
      </c>
      <c r="L217" s="1">
        <v>40</v>
      </c>
      <c r="M217" s="1" t="s">
        <v>421</v>
      </c>
      <c r="N217" s="1" t="s">
        <v>422</v>
      </c>
      <c r="O217" s="1" t="s">
        <v>423</v>
      </c>
      <c r="P217" s="1" t="s">
        <v>48</v>
      </c>
      <c r="Q217" s="1" t="s">
        <v>822</v>
      </c>
      <c r="R217" s="1">
        <v>13</v>
      </c>
      <c r="S217" s="1" t="s">
        <v>48</v>
      </c>
      <c r="T217" s="1" t="s">
        <v>7577</v>
      </c>
      <c r="U217" s="1" t="str">
        <f>HYPERLINK("http://dx.doi.org/10.3389/fmicb.2022.794503","http://dx.doi.org/10.3389/fmicb.2022.794503")</f>
        <v>http://dx.doi.org/10.3389/fmicb.2022.794503</v>
      </c>
      <c r="V217" s="1">
        <v>17</v>
      </c>
      <c r="W217" s="1" t="s">
        <v>824</v>
      </c>
      <c r="X217" s="1" t="s">
        <v>67</v>
      </c>
      <c r="Y217" s="1" t="s">
        <v>824</v>
      </c>
      <c r="Z217" s="1">
        <v>35607594</v>
      </c>
      <c r="AA217" s="1" t="s">
        <v>7578</v>
      </c>
    </row>
    <row r="218" spans="1:27" s="1" customFormat="1" ht="18.5" x14ac:dyDescent="0.45">
      <c r="A218" s="1" t="s">
        <v>7579</v>
      </c>
      <c r="B218" s="1" t="s">
        <v>7580</v>
      </c>
      <c r="C218" s="1" t="s">
        <v>2604</v>
      </c>
      <c r="D218" s="1" t="s">
        <v>53</v>
      </c>
      <c r="E218" s="2">
        <v>2022</v>
      </c>
      <c r="F218" s="1" t="s">
        <v>7581</v>
      </c>
      <c r="G218" s="1" t="s">
        <v>7582</v>
      </c>
      <c r="H218" s="1" t="s">
        <v>7583</v>
      </c>
      <c r="I218" s="1">
        <v>92</v>
      </c>
      <c r="J218" s="1">
        <v>9</v>
      </c>
      <c r="K218" s="1">
        <v>1</v>
      </c>
      <c r="L218" s="1">
        <v>15</v>
      </c>
      <c r="M218" s="1" t="s">
        <v>2607</v>
      </c>
      <c r="N218" s="1" t="s">
        <v>361</v>
      </c>
      <c r="O218" s="1" t="s">
        <v>2608</v>
      </c>
      <c r="P218" s="1" t="s">
        <v>2609</v>
      </c>
      <c r="Q218" s="1" t="s">
        <v>2610</v>
      </c>
      <c r="R218" s="1">
        <v>46</v>
      </c>
      <c r="S218" s="1">
        <v>15</v>
      </c>
      <c r="T218" s="1" t="s">
        <v>7584</v>
      </c>
      <c r="U218" s="1" t="str">
        <f>HYPERLINK("http://dx.doi.org/10.1039/d1nj05869j","http://dx.doi.org/10.1039/d1nj05869j")</f>
        <v>http://dx.doi.org/10.1039/d1nj05869j</v>
      </c>
      <c r="V218" s="1">
        <v>14</v>
      </c>
      <c r="W218" s="1" t="s">
        <v>2292</v>
      </c>
      <c r="X218" s="1" t="s">
        <v>3514</v>
      </c>
      <c r="Y218" s="1" t="s">
        <v>2293</v>
      </c>
      <c r="Z218" s="1" t="s">
        <v>48</v>
      </c>
      <c r="AA218" s="1" t="s">
        <v>48</v>
      </c>
    </row>
    <row r="219" spans="1:27" s="1" customFormat="1" ht="18.5" x14ac:dyDescent="0.45">
      <c r="A219" s="1" t="s">
        <v>7619</v>
      </c>
      <c r="B219" s="1" t="s">
        <v>7620</v>
      </c>
      <c r="C219" s="1" t="s">
        <v>7621</v>
      </c>
      <c r="D219" s="1" t="s">
        <v>53</v>
      </c>
      <c r="E219" s="2">
        <v>2022</v>
      </c>
      <c r="F219" s="1" t="s">
        <v>7622</v>
      </c>
      <c r="G219" s="1" t="s">
        <v>7623</v>
      </c>
      <c r="H219" s="1" t="s">
        <v>7624</v>
      </c>
      <c r="I219" s="1">
        <v>54</v>
      </c>
      <c r="J219" s="1">
        <v>3</v>
      </c>
      <c r="K219" s="1">
        <v>1</v>
      </c>
      <c r="L219" s="1">
        <v>7</v>
      </c>
      <c r="M219" s="1" t="s">
        <v>347</v>
      </c>
      <c r="N219" s="1" t="s">
        <v>348</v>
      </c>
      <c r="O219" s="1" t="s">
        <v>349</v>
      </c>
      <c r="P219" s="1" t="s">
        <v>7625</v>
      </c>
      <c r="Q219" s="1" t="s">
        <v>7626</v>
      </c>
      <c r="R219" s="1">
        <v>123</v>
      </c>
      <c r="S219" s="1">
        <v>12</v>
      </c>
      <c r="T219" s="1" t="s">
        <v>7627</v>
      </c>
      <c r="U219" s="1" t="str">
        <f>HYPERLINK("http://dx.doi.org/10.1002/jcb.30330","http://dx.doi.org/10.1002/jcb.30330")</f>
        <v>http://dx.doi.org/10.1002/jcb.30330</v>
      </c>
      <c r="V219" s="1">
        <v>13</v>
      </c>
      <c r="W219" s="1" t="s">
        <v>7628</v>
      </c>
      <c r="X219" s="1" t="s">
        <v>67</v>
      </c>
      <c r="Y219" s="1" t="s">
        <v>7628</v>
      </c>
      <c r="Z219" s="1">
        <v>36146908</v>
      </c>
      <c r="AA219" s="1" t="s">
        <v>48</v>
      </c>
    </row>
    <row r="220" spans="1:27" s="1" customFormat="1" ht="18.5" x14ac:dyDescent="0.45">
      <c r="A220" s="1" t="s">
        <v>7635</v>
      </c>
      <c r="B220" s="1" t="s">
        <v>7636</v>
      </c>
      <c r="C220" s="1" t="s">
        <v>2328</v>
      </c>
      <c r="D220" s="1" t="s">
        <v>53</v>
      </c>
      <c r="E220" s="2">
        <v>2022</v>
      </c>
      <c r="F220" s="1" t="s">
        <v>7637</v>
      </c>
      <c r="G220" s="1" t="s">
        <v>7638</v>
      </c>
      <c r="H220" s="1" t="s">
        <v>7639</v>
      </c>
      <c r="I220" s="1">
        <v>60</v>
      </c>
      <c r="J220" s="1">
        <v>3</v>
      </c>
      <c r="K220" s="1">
        <v>1</v>
      </c>
      <c r="L220" s="1">
        <v>11</v>
      </c>
      <c r="M220" s="1" t="s">
        <v>2331</v>
      </c>
      <c r="N220" s="1" t="s">
        <v>504</v>
      </c>
      <c r="O220" s="1" t="s">
        <v>2332</v>
      </c>
      <c r="P220" s="1" t="s">
        <v>2333</v>
      </c>
      <c r="Q220" s="1" t="s">
        <v>2334</v>
      </c>
      <c r="R220" s="1">
        <v>32</v>
      </c>
      <c r="S220" s="1">
        <v>4</v>
      </c>
      <c r="T220" s="1" t="s">
        <v>7640</v>
      </c>
      <c r="U220" s="1" t="str">
        <f>HYPERLINK("http://dx.doi.org/10.1007/s10895-022-02980-9","http://dx.doi.org/10.1007/s10895-022-02980-9")</f>
        <v>http://dx.doi.org/10.1007/s10895-022-02980-9</v>
      </c>
      <c r="V220" s="1">
        <v>15</v>
      </c>
      <c r="W220" s="1" t="s">
        <v>2338</v>
      </c>
      <c r="X220" s="1" t="s">
        <v>67</v>
      </c>
      <c r="Y220" s="1" t="s">
        <v>842</v>
      </c>
      <c r="Z220" s="1">
        <v>35708890</v>
      </c>
      <c r="AA220" s="1" t="s">
        <v>48</v>
      </c>
    </row>
    <row r="221" spans="1:27" s="1" customFormat="1" ht="18.5" x14ac:dyDescent="0.45">
      <c r="A221" s="1" t="s">
        <v>7641</v>
      </c>
      <c r="B221" s="1" t="s">
        <v>7642</v>
      </c>
      <c r="C221" s="1" t="s">
        <v>7643</v>
      </c>
      <c r="D221" s="1" t="s">
        <v>53</v>
      </c>
      <c r="E221" s="2">
        <v>2022</v>
      </c>
      <c r="F221" s="1" t="s">
        <v>7644</v>
      </c>
      <c r="G221" s="1" t="s">
        <v>7645</v>
      </c>
      <c r="H221" s="1" t="s">
        <v>6484</v>
      </c>
      <c r="I221" s="1">
        <v>65</v>
      </c>
      <c r="J221" s="1">
        <v>4</v>
      </c>
      <c r="K221" s="1">
        <v>2</v>
      </c>
      <c r="L221" s="1">
        <v>4</v>
      </c>
      <c r="M221" s="1" t="s">
        <v>347</v>
      </c>
      <c r="N221" s="1" t="s">
        <v>348</v>
      </c>
      <c r="O221" s="1" t="s">
        <v>349</v>
      </c>
      <c r="P221" s="1" t="s">
        <v>7646</v>
      </c>
      <c r="Q221" s="1" t="s">
        <v>7647</v>
      </c>
      <c r="R221" s="1">
        <v>36</v>
      </c>
      <c r="S221" s="1">
        <v>11</v>
      </c>
      <c r="T221" s="1" t="s">
        <v>7648</v>
      </c>
      <c r="U221" s="1" t="str">
        <f>HYPERLINK("http://dx.doi.org/10.1002/aoc.6880","http://dx.doi.org/10.1002/aoc.6880")</f>
        <v>http://dx.doi.org/10.1002/aoc.6880</v>
      </c>
      <c r="V221" s="1">
        <v>10</v>
      </c>
      <c r="W221" s="1" t="s">
        <v>7649</v>
      </c>
      <c r="X221" s="1" t="s">
        <v>67</v>
      </c>
      <c r="Y221" s="1" t="s">
        <v>2293</v>
      </c>
      <c r="Z221" s="1" t="s">
        <v>48</v>
      </c>
      <c r="AA221" s="1" t="s">
        <v>48</v>
      </c>
    </row>
    <row r="222" spans="1:27" s="1" customFormat="1" ht="18.5" x14ac:dyDescent="0.45">
      <c r="A222" s="1" t="s">
        <v>7662</v>
      </c>
      <c r="B222" s="1" t="s">
        <v>7663</v>
      </c>
      <c r="C222" s="1" t="s">
        <v>7664</v>
      </c>
      <c r="D222" s="1" t="s">
        <v>53</v>
      </c>
      <c r="E222" s="2">
        <v>2022</v>
      </c>
      <c r="F222" s="1" t="s">
        <v>7665</v>
      </c>
      <c r="G222" s="1" t="s">
        <v>7666</v>
      </c>
      <c r="H222" s="1" t="s">
        <v>7667</v>
      </c>
      <c r="I222" s="1">
        <v>113</v>
      </c>
      <c r="J222" s="1">
        <v>18</v>
      </c>
      <c r="K222" s="1">
        <v>0</v>
      </c>
      <c r="L222" s="1">
        <v>12</v>
      </c>
      <c r="M222" s="1" t="s">
        <v>132</v>
      </c>
      <c r="N222" s="1" t="s">
        <v>133</v>
      </c>
      <c r="O222" s="1" t="s">
        <v>134</v>
      </c>
      <c r="P222" s="1" t="s">
        <v>48</v>
      </c>
      <c r="Q222" s="1" t="s">
        <v>7668</v>
      </c>
      <c r="R222" s="1">
        <v>11</v>
      </c>
      <c r="S222" s="1">
        <v>9</v>
      </c>
      <c r="T222" s="1" t="s">
        <v>7669</v>
      </c>
      <c r="U222" s="1" t="str">
        <f>HYPERLINK("http://dx.doi.org/10.3390/land11091461","http://dx.doi.org/10.3390/land11091461")</f>
        <v>http://dx.doi.org/10.3390/land11091461</v>
      </c>
      <c r="V222" s="1">
        <v>28</v>
      </c>
      <c r="W222" s="1" t="s">
        <v>4193</v>
      </c>
      <c r="X222" s="1" t="s">
        <v>106</v>
      </c>
      <c r="Y222" s="1" t="s">
        <v>439</v>
      </c>
      <c r="Z222" s="1" t="s">
        <v>48</v>
      </c>
      <c r="AA222" s="1" t="s">
        <v>125</v>
      </c>
    </row>
    <row r="223" spans="1:27" s="1" customFormat="1" ht="18.5" x14ac:dyDescent="0.45">
      <c r="A223" s="1" t="s">
        <v>7680</v>
      </c>
      <c r="B223" s="1" t="s">
        <v>7681</v>
      </c>
      <c r="C223" s="1" t="s">
        <v>2604</v>
      </c>
      <c r="D223" s="1" t="s">
        <v>53</v>
      </c>
      <c r="E223" s="2">
        <v>2022</v>
      </c>
      <c r="F223" s="1" t="s">
        <v>7682</v>
      </c>
      <c r="G223" s="1" t="s">
        <v>7683</v>
      </c>
      <c r="H223" s="1" t="s">
        <v>6484</v>
      </c>
      <c r="I223" s="1">
        <v>55</v>
      </c>
      <c r="J223" s="1">
        <v>6</v>
      </c>
      <c r="K223" s="1">
        <v>0</v>
      </c>
      <c r="L223" s="1">
        <v>5</v>
      </c>
      <c r="M223" s="1" t="s">
        <v>2607</v>
      </c>
      <c r="N223" s="1" t="s">
        <v>361</v>
      </c>
      <c r="O223" s="1" t="s">
        <v>2608</v>
      </c>
      <c r="P223" s="1" t="s">
        <v>2609</v>
      </c>
      <c r="Q223" s="1" t="s">
        <v>2610</v>
      </c>
      <c r="R223" s="1">
        <v>46</v>
      </c>
      <c r="S223" s="1">
        <v>35</v>
      </c>
      <c r="T223" s="1" t="s">
        <v>7684</v>
      </c>
      <c r="U223" s="1" t="str">
        <f>HYPERLINK("http://dx.doi.org/10.1039/d2nj02467e","http://dx.doi.org/10.1039/d2nj02467e")</f>
        <v>http://dx.doi.org/10.1039/d2nj02467e</v>
      </c>
      <c r="V223" s="1">
        <v>8</v>
      </c>
      <c r="W223" s="1" t="s">
        <v>2292</v>
      </c>
      <c r="X223" s="1" t="s">
        <v>67</v>
      </c>
      <c r="Y223" s="1" t="s">
        <v>2293</v>
      </c>
      <c r="Z223" s="1" t="s">
        <v>48</v>
      </c>
      <c r="AA223" s="1" t="s">
        <v>48</v>
      </c>
    </row>
    <row r="224" spans="1:27" s="1" customFormat="1" ht="18.5" x14ac:dyDescent="0.45">
      <c r="A224" s="1" t="s">
        <v>7685</v>
      </c>
      <c r="B224" s="1" t="s">
        <v>7686</v>
      </c>
      <c r="C224" s="1" t="s">
        <v>1105</v>
      </c>
      <c r="D224" s="1" t="s">
        <v>53</v>
      </c>
      <c r="E224" s="2">
        <v>2022</v>
      </c>
      <c r="F224" s="1" t="s">
        <v>7687</v>
      </c>
      <c r="G224" s="1" t="s">
        <v>7688</v>
      </c>
      <c r="H224" s="1" t="s">
        <v>7689</v>
      </c>
      <c r="I224" s="1">
        <v>47</v>
      </c>
      <c r="J224" s="1">
        <v>17</v>
      </c>
      <c r="K224" s="1">
        <v>0</v>
      </c>
      <c r="L224" s="1">
        <v>9</v>
      </c>
      <c r="M224" s="1" t="s">
        <v>285</v>
      </c>
      <c r="N224" s="1" t="s">
        <v>286</v>
      </c>
      <c r="O224" s="1" t="s">
        <v>287</v>
      </c>
      <c r="P224" s="1" t="s">
        <v>1109</v>
      </c>
      <c r="Q224" s="1" t="s">
        <v>1110</v>
      </c>
      <c r="R224" s="1">
        <v>148</v>
      </c>
      <c r="S224" s="1" t="s">
        <v>7690</v>
      </c>
      <c r="T224" s="1" t="s">
        <v>7691</v>
      </c>
      <c r="U224" s="1" t="str">
        <f>HYPERLINK("http://dx.doi.org/10.1007/s00704-022-03976-y","http://dx.doi.org/10.1007/s00704-022-03976-y")</f>
        <v>http://dx.doi.org/10.1007/s00704-022-03976-y</v>
      </c>
      <c r="V224" s="1">
        <v>18</v>
      </c>
      <c r="W224" s="1" t="s">
        <v>1112</v>
      </c>
      <c r="X224" s="1" t="s">
        <v>67</v>
      </c>
      <c r="Y224" s="1" t="s">
        <v>1112</v>
      </c>
      <c r="Z224" s="1" t="s">
        <v>48</v>
      </c>
      <c r="AA224" s="1" t="s">
        <v>48</v>
      </c>
    </row>
    <row r="225" spans="1:27" s="1" customFormat="1" ht="18.5" x14ac:dyDescent="0.45">
      <c r="A225" s="1" t="s">
        <v>7705</v>
      </c>
      <c r="B225" s="1" t="s">
        <v>7706</v>
      </c>
      <c r="C225" s="1" t="s">
        <v>5219</v>
      </c>
      <c r="D225" s="1" t="s">
        <v>53</v>
      </c>
      <c r="E225" s="2">
        <v>2022</v>
      </c>
      <c r="F225" s="1" t="s">
        <v>7707</v>
      </c>
      <c r="G225" s="1" t="s">
        <v>7708</v>
      </c>
      <c r="H225" s="1" t="s">
        <v>7709</v>
      </c>
      <c r="I225" s="1">
        <v>97</v>
      </c>
      <c r="J225" s="1">
        <v>2</v>
      </c>
      <c r="K225" s="1">
        <v>0</v>
      </c>
      <c r="L225" s="1">
        <v>5</v>
      </c>
      <c r="M225" s="1" t="s">
        <v>79</v>
      </c>
      <c r="N225" s="1" t="s">
        <v>80</v>
      </c>
      <c r="O225" s="1" t="s">
        <v>7710</v>
      </c>
      <c r="P225" s="1" t="s">
        <v>5222</v>
      </c>
      <c r="Q225" s="1" t="s">
        <v>48</v>
      </c>
      <c r="R225" s="1">
        <v>99</v>
      </c>
      <c r="S225" s="1">
        <v>1</v>
      </c>
      <c r="T225" s="1" t="s">
        <v>7711</v>
      </c>
      <c r="U225" s="1" t="str">
        <f>HYPERLINK("http://dx.doi.org/10.1016/j.jics.2021.100244","http://dx.doi.org/10.1016/j.jics.2021.100244")</f>
        <v>http://dx.doi.org/10.1016/j.jics.2021.100244</v>
      </c>
      <c r="V225" s="1">
        <v>14</v>
      </c>
      <c r="W225" s="1" t="s">
        <v>2292</v>
      </c>
      <c r="X225" s="1" t="s">
        <v>67</v>
      </c>
      <c r="Y225" s="1" t="s">
        <v>2293</v>
      </c>
      <c r="Z225" s="1" t="s">
        <v>48</v>
      </c>
      <c r="AA225" s="1" t="s">
        <v>48</v>
      </c>
    </row>
    <row r="226" spans="1:27" s="1" customFormat="1" ht="18.5" x14ac:dyDescent="0.45">
      <c r="A226" s="1" t="s">
        <v>7771</v>
      </c>
      <c r="B226" s="1" t="s">
        <v>7772</v>
      </c>
      <c r="C226" s="1" t="s">
        <v>979</v>
      </c>
      <c r="D226" s="1" t="s">
        <v>53</v>
      </c>
      <c r="E226" s="2">
        <v>2022</v>
      </c>
      <c r="F226" s="1" t="s">
        <v>7773</v>
      </c>
      <c r="G226" s="1" t="s">
        <v>7774</v>
      </c>
      <c r="H226" s="1" t="s">
        <v>7281</v>
      </c>
      <c r="I226" s="1">
        <v>65</v>
      </c>
      <c r="J226" s="1">
        <v>11</v>
      </c>
      <c r="K226" s="1">
        <v>1</v>
      </c>
      <c r="L226" s="1">
        <v>50</v>
      </c>
      <c r="M226" s="1" t="s">
        <v>198</v>
      </c>
      <c r="N226" s="1" t="s">
        <v>146</v>
      </c>
      <c r="O226" s="1" t="s">
        <v>199</v>
      </c>
      <c r="P226" s="1" t="s">
        <v>982</v>
      </c>
      <c r="Q226" s="1" t="s">
        <v>983</v>
      </c>
      <c r="R226" s="1">
        <v>37</v>
      </c>
      <c r="S226" s="1">
        <v>25</v>
      </c>
      <c r="T226" s="1" t="s">
        <v>7775</v>
      </c>
      <c r="U226" s="1" t="str">
        <f>HYPERLINK("http://dx.doi.org/10.1080/10106049.2022.2032396","http://dx.doi.org/10.1080/10106049.2022.2032396")</f>
        <v>http://dx.doi.org/10.1080/10106049.2022.2032396</v>
      </c>
      <c r="V226" s="1">
        <v>24</v>
      </c>
      <c r="W226" s="1" t="s">
        <v>988</v>
      </c>
      <c r="X226" s="1" t="s">
        <v>67</v>
      </c>
      <c r="Y226" s="1" t="s">
        <v>989</v>
      </c>
      <c r="Z226" s="1" t="s">
        <v>48</v>
      </c>
      <c r="AA226" s="1" t="s">
        <v>2074</v>
      </c>
    </row>
    <row r="227" spans="1:27" s="1" customFormat="1" ht="18.5" x14ac:dyDescent="0.45">
      <c r="A227" s="1" t="s">
        <v>7809</v>
      </c>
      <c r="B227" s="1" t="s">
        <v>7810</v>
      </c>
      <c r="C227" s="1" t="s">
        <v>1018</v>
      </c>
      <c r="D227" s="1" t="s">
        <v>53</v>
      </c>
      <c r="E227" s="2">
        <v>2022</v>
      </c>
      <c r="F227" s="1" t="s">
        <v>7811</v>
      </c>
      <c r="G227" s="1" t="s">
        <v>7812</v>
      </c>
      <c r="H227" s="1" t="s">
        <v>7813</v>
      </c>
      <c r="I227" s="1">
        <v>94</v>
      </c>
      <c r="J227" s="1">
        <v>18</v>
      </c>
      <c r="K227" s="1">
        <v>0</v>
      </c>
      <c r="L227" s="1">
        <v>13</v>
      </c>
      <c r="M227" s="1" t="s">
        <v>252</v>
      </c>
      <c r="N227" s="1" t="s">
        <v>253</v>
      </c>
      <c r="O227" s="1" t="s">
        <v>254</v>
      </c>
      <c r="P227" s="1" t="s">
        <v>1024</v>
      </c>
      <c r="Q227" s="1" t="s">
        <v>1025</v>
      </c>
      <c r="R227" s="1">
        <v>29</v>
      </c>
      <c r="S227" s="1">
        <v>48</v>
      </c>
      <c r="T227" s="1" t="s">
        <v>7814</v>
      </c>
      <c r="U227" s="1" t="str">
        <f>HYPERLINK("http://dx.doi.org/10.1007/s11356-022-20821-x","http://dx.doi.org/10.1007/s11356-022-20821-x")</f>
        <v>http://dx.doi.org/10.1007/s11356-022-20821-x</v>
      </c>
      <c r="V227" s="1">
        <v>24</v>
      </c>
      <c r="W227" s="1" t="s">
        <v>438</v>
      </c>
      <c r="X227" s="1" t="s">
        <v>67</v>
      </c>
      <c r="Y227" s="1" t="s">
        <v>439</v>
      </c>
      <c r="Z227" s="1">
        <v>35624371</v>
      </c>
      <c r="AA227" s="1" t="s">
        <v>48</v>
      </c>
    </row>
    <row r="228" spans="1:27" s="1" customFormat="1" ht="18.5" x14ac:dyDescent="0.45">
      <c r="A228" s="1" t="s">
        <v>7815</v>
      </c>
      <c r="B228" s="1" t="s">
        <v>7816</v>
      </c>
      <c r="C228" s="1" t="s">
        <v>4698</v>
      </c>
      <c r="D228" s="1" t="s">
        <v>53</v>
      </c>
      <c r="E228" s="2">
        <v>2022</v>
      </c>
      <c r="F228" s="1" t="s">
        <v>7817</v>
      </c>
      <c r="G228" s="1" t="s">
        <v>7818</v>
      </c>
      <c r="H228" s="1" t="s">
        <v>7819</v>
      </c>
      <c r="I228" s="1">
        <v>83</v>
      </c>
      <c r="J228" s="1">
        <v>5</v>
      </c>
      <c r="K228" s="1">
        <v>0</v>
      </c>
      <c r="L228" s="1">
        <v>5</v>
      </c>
      <c r="M228" s="1" t="s">
        <v>79</v>
      </c>
      <c r="N228" s="1" t="s">
        <v>80</v>
      </c>
      <c r="O228" s="1" t="s">
        <v>81</v>
      </c>
      <c r="P228" s="1" t="s">
        <v>4701</v>
      </c>
      <c r="Q228" s="1" t="s">
        <v>4702</v>
      </c>
      <c r="R228" s="1">
        <v>1256</v>
      </c>
      <c r="S228" s="1" t="s">
        <v>48</v>
      </c>
      <c r="T228" s="1" t="s">
        <v>7820</v>
      </c>
      <c r="U228" s="1" t="str">
        <f>HYPERLINK("http://dx.doi.org/10.1016/j.molstruc.2022.132479","http://dx.doi.org/10.1016/j.molstruc.2022.132479")</f>
        <v>http://dx.doi.org/10.1016/j.molstruc.2022.132479</v>
      </c>
      <c r="V228" s="1">
        <v>18</v>
      </c>
      <c r="W228" s="1" t="s">
        <v>2899</v>
      </c>
      <c r="X228" s="1" t="s">
        <v>67</v>
      </c>
      <c r="Y228" s="1" t="s">
        <v>2293</v>
      </c>
      <c r="Z228" s="1" t="s">
        <v>48</v>
      </c>
      <c r="AA228" s="1" t="s">
        <v>48</v>
      </c>
    </row>
    <row r="229" spans="1:27" s="1" customFormat="1" ht="18.5" x14ac:dyDescent="0.45">
      <c r="A229" s="1" t="s">
        <v>7836</v>
      </c>
      <c r="B229" s="1" t="s">
        <v>7837</v>
      </c>
      <c r="C229" s="1" t="s">
        <v>5972</v>
      </c>
      <c r="D229" s="1" t="s">
        <v>53</v>
      </c>
      <c r="E229" s="2">
        <v>2022</v>
      </c>
      <c r="F229" s="1" t="s">
        <v>7838</v>
      </c>
      <c r="G229" s="1" t="s">
        <v>7839</v>
      </c>
      <c r="H229" s="1" t="s">
        <v>7840</v>
      </c>
      <c r="I229" s="1">
        <v>65</v>
      </c>
      <c r="J229" s="1">
        <v>32</v>
      </c>
      <c r="K229" s="1">
        <v>6</v>
      </c>
      <c r="L229" s="1">
        <v>18</v>
      </c>
      <c r="M229" s="1" t="s">
        <v>132</v>
      </c>
      <c r="N229" s="1" t="s">
        <v>133</v>
      </c>
      <c r="O229" s="1" t="s">
        <v>134</v>
      </c>
      <c r="P229" s="1" t="s">
        <v>48</v>
      </c>
      <c r="Q229" s="1" t="s">
        <v>5975</v>
      </c>
      <c r="R229" s="1">
        <v>14</v>
      </c>
      <c r="S229" s="1">
        <v>18</v>
      </c>
      <c r="T229" s="1" t="s">
        <v>7841</v>
      </c>
      <c r="U229" s="1" t="str">
        <f>HYPERLINK("http://dx.doi.org/10.3390/su141811276","http://dx.doi.org/10.3390/su141811276")</f>
        <v>http://dx.doi.org/10.3390/su141811276</v>
      </c>
      <c r="V229" s="1">
        <v>21</v>
      </c>
      <c r="W229" s="1" t="s">
        <v>5977</v>
      </c>
      <c r="X229" s="1" t="s">
        <v>944</v>
      </c>
      <c r="Y229" s="1" t="s">
        <v>723</v>
      </c>
      <c r="Z229" s="1" t="s">
        <v>48</v>
      </c>
      <c r="AA229" s="1" t="s">
        <v>125</v>
      </c>
    </row>
    <row r="230" spans="1:27" s="1" customFormat="1" ht="18.5" x14ac:dyDescent="0.45">
      <c r="A230" s="1" t="s">
        <v>7842</v>
      </c>
      <c r="B230" s="1" t="s">
        <v>7843</v>
      </c>
      <c r="C230" s="1" t="s">
        <v>2791</v>
      </c>
      <c r="D230" s="1" t="s">
        <v>53</v>
      </c>
      <c r="E230" s="2">
        <v>2022</v>
      </c>
      <c r="F230" s="1" t="s">
        <v>7844</v>
      </c>
      <c r="G230" s="1" t="s">
        <v>7845</v>
      </c>
      <c r="H230" s="1" t="s">
        <v>7846</v>
      </c>
      <c r="I230" s="1">
        <v>68</v>
      </c>
      <c r="J230" s="1">
        <v>42</v>
      </c>
      <c r="K230" s="1">
        <v>4</v>
      </c>
      <c r="L230" s="1">
        <v>30</v>
      </c>
      <c r="M230" s="1" t="s">
        <v>79</v>
      </c>
      <c r="N230" s="1" t="s">
        <v>80</v>
      </c>
      <c r="O230" s="1" t="s">
        <v>81</v>
      </c>
      <c r="P230" s="1" t="s">
        <v>2796</v>
      </c>
      <c r="Q230" s="1" t="s">
        <v>2797</v>
      </c>
      <c r="R230" s="1">
        <v>354</v>
      </c>
      <c r="S230" s="1" t="s">
        <v>48</v>
      </c>
      <c r="T230" s="1" t="s">
        <v>7847</v>
      </c>
      <c r="U230" s="1" t="str">
        <f>HYPERLINK("http://dx.doi.org/10.1016/j.molliq.2022.118824","http://dx.doi.org/10.1016/j.molliq.2022.118824")</f>
        <v>http://dx.doi.org/10.1016/j.molliq.2022.118824</v>
      </c>
      <c r="V230" s="1">
        <v>14</v>
      </c>
      <c r="W230" s="1" t="s">
        <v>2595</v>
      </c>
      <c r="X230" s="1" t="s">
        <v>67</v>
      </c>
      <c r="Y230" s="1" t="s">
        <v>2596</v>
      </c>
      <c r="Z230" s="1" t="s">
        <v>48</v>
      </c>
      <c r="AA230" s="1" t="s">
        <v>48</v>
      </c>
    </row>
    <row r="231" spans="1:27" s="1" customFormat="1" ht="18.5" x14ac:dyDescent="0.45">
      <c r="A231" s="1" t="s">
        <v>7848</v>
      </c>
      <c r="B231" s="1" t="s">
        <v>7849</v>
      </c>
      <c r="C231" s="1" t="s">
        <v>7850</v>
      </c>
      <c r="D231" s="1" t="s">
        <v>53</v>
      </c>
      <c r="E231" s="2">
        <v>2022</v>
      </c>
      <c r="F231" s="1" t="s">
        <v>7851</v>
      </c>
      <c r="G231" s="1" t="s">
        <v>7852</v>
      </c>
      <c r="H231" s="1" t="s">
        <v>7853</v>
      </c>
      <c r="I231" s="1">
        <v>66</v>
      </c>
      <c r="J231" s="1">
        <v>4</v>
      </c>
      <c r="K231" s="1">
        <v>0</v>
      </c>
      <c r="L231" s="1">
        <v>8</v>
      </c>
      <c r="M231" s="1" t="s">
        <v>60</v>
      </c>
      <c r="N231" s="1" t="s">
        <v>61</v>
      </c>
      <c r="O231" s="1" t="s">
        <v>62</v>
      </c>
      <c r="P231" s="1" t="s">
        <v>7854</v>
      </c>
      <c r="Q231" s="1" t="s">
        <v>7855</v>
      </c>
      <c r="R231" s="1">
        <v>174</v>
      </c>
      <c r="S231" s="1" t="s">
        <v>48</v>
      </c>
      <c r="T231" s="1" t="s">
        <v>7856</v>
      </c>
      <c r="U231" s="1" t="str">
        <f>HYPERLINK("http://dx.doi.org/10.1016/j.advengsoft.2022.103301","http://dx.doi.org/10.1016/j.advengsoft.2022.103301")</f>
        <v>http://dx.doi.org/10.1016/j.advengsoft.2022.103301</v>
      </c>
      <c r="V231" s="1">
        <v>20</v>
      </c>
      <c r="W231" s="1" t="s">
        <v>7857</v>
      </c>
      <c r="X231" s="1" t="s">
        <v>67</v>
      </c>
      <c r="Y231" s="1" t="s">
        <v>389</v>
      </c>
      <c r="Z231" s="1" t="s">
        <v>48</v>
      </c>
      <c r="AA231" s="1" t="s">
        <v>48</v>
      </c>
    </row>
    <row r="232" spans="1:27" s="1" customFormat="1" ht="18.5" x14ac:dyDescent="0.45">
      <c r="A232" s="1" t="s">
        <v>7858</v>
      </c>
      <c r="B232" s="1" t="s">
        <v>7859</v>
      </c>
      <c r="C232" s="1" t="s">
        <v>404</v>
      </c>
      <c r="D232" s="1" t="s">
        <v>53</v>
      </c>
      <c r="E232" s="2">
        <v>2022</v>
      </c>
      <c r="F232" s="1" t="s">
        <v>7860</v>
      </c>
      <c r="G232" s="1" t="s">
        <v>7861</v>
      </c>
      <c r="H232" s="1" t="s">
        <v>7862</v>
      </c>
      <c r="I232" s="1">
        <v>56</v>
      </c>
      <c r="J232" s="1">
        <v>8</v>
      </c>
      <c r="K232" s="1">
        <v>2</v>
      </c>
      <c r="L232" s="1">
        <v>11</v>
      </c>
      <c r="M232" s="1" t="s">
        <v>410</v>
      </c>
      <c r="N232" s="1" t="s">
        <v>411</v>
      </c>
      <c r="O232" s="1" t="s">
        <v>412</v>
      </c>
      <c r="P232" s="1" t="s">
        <v>413</v>
      </c>
      <c r="Q232" s="1" t="s">
        <v>48</v>
      </c>
      <c r="R232" s="1">
        <v>12</v>
      </c>
      <c r="S232" s="1">
        <v>1</v>
      </c>
      <c r="T232" s="1" t="s">
        <v>7863</v>
      </c>
      <c r="U232" s="1" t="str">
        <f>HYPERLINK("http://dx.doi.org/10.1038/s41598-022-19450-8","http://dx.doi.org/10.1038/s41598-022-19450-8")</f>
        <v>http://dx.doi.org/10.1038/s41598-022-19450-8</v>
      </c>
      <c r="V232" s="1">
        <v>19</v>
      </c>
      <c r="W232" s="1" t="s">
        <v>335</v>
      </c>
      <c r="X232" s="1" t="s">
        <v>67</v>
      </c>
      <c r="Y232" s="1" t="s">
        <v>336</v>
      </c>
      <c r="Z232" s="1">
        <v>36109567</v>
      </c>
      <c r="AA232" s="1" t="s">
        <v>366</v>
      </c>
    </row>
    <row r="233" spans="1:27" s="1" customFormat="1" ht="18.5" x14ac:dyDescent="0.45">
      <c r="A233" s="1" t="s">
        <v>7879</v>
      </c>
      <c r="B233" s="1" t="s">
        <v>7880</v>
      </c>
      <c r="C233" s="1" t="s">
        <v>7881</v>
      </c>
      <c r="D233" s="1" t="s">
        <v>53</v>
      </c>
      <c r="E233" s="2">
        <v>2022</v>
      </c>
      <c r="F233" s="1" t="s">
        <v>7882</v>
      </c>
      <c r="G233" s="1" t="s">
        <v>7883</v>
      </c>
      <c r="H233" s="1" t="s">
        <v>7328</v>
      </c>
      <c r="I233" s="1">
        <v>126</v>
      </c>
      <c r="J233" s="1">
        <v>7</v>
      </c>
      <c r="K233" s="1">
        <v>1</v>
      </c>
      <c r="L233" s="1">
        <v>4</v>
      </c>
      <c r="M233" s="1" t="s">
        <v>132</v>
      </c>
      <c r="N233" s="1" t="s">
        <v>133</v>
      </c>
      <c r="O233" s="1" t="s">
        <v>134</v>
      </c>
      <c r="P233" s="1" t="s">
        <v>48</v>
      </c>
      <c r="Q233" s="1" t="s">
        <v>7884</v>
      </c>
      <c r="R233" s="1">
        <v>10</v>
      </c>
      <c r="S233" s="1">
        <v>2</v>
      </c>
      <c r="T233" s="1" t="s">
        <v>7885</v>
      </c>
      <c r="U233" s="1" t="str">
        <f>HYPERLINK("http://dx.doi.org/10.3390/vaccines10020301","http://dx.doi.org/10.3390/vaccines10020301")</f>
        <v>http://dx.doi.org/10.3390/vaccines10020301</v>
      </c>
      <c r="V233" s="1">
        <v>37</v>
      </c>
      <c r="W233" s="1" t="s">
        <v>7886</v>
      </c>
      <c r="X233" s="1" t="s">
        <v>67</v>
      </c>
      <c r="Y233" s="1" t="s">
        <v>7887</v>
      </c>
      <c r="Z233" s="1">
        <v>35214759</v>
      </c>
      <c r="AA233" s="1" t="s">
        <v>7888</v>
      </c>
    </row>
    <row r="234" spans="1:27" s="1" customFormat="1" ht="18.5" x14ac:dyDescent="0.45">
      <c r="A234" s="1" t="s">
        <v>7889</v>
      </c>
      <c r="B234" s="1" t="s">
        <v>7890</v>
      </c>
      <c r="C234" s="1" t="s">
        <v>2702</v>
      </c>
      <c r="D234" s="1" t="s">
        <v>53</v>
      </c>
      <c r="E234" s="2">
        <v>2022</v>
      </c>
      <c r="F234" s="1" t="s">
        <v>7891</v>
      </c>
      <c r="G234" s="1" t="s">
        <v>7892</v>
      </c>
      <c r="H234" s="1" t="s">
        <v>7893</v>
      </c>
      <c r="I234" s="1">
        <v>31</v>
      </c>
      <c r="J234" s="1">
        <v>3</v>
      </c>
      <c r="K234" s="1">
        <v>0</v>
      </c>
      <c r="L234" s="1">
        <v>8</v>
      </c>
      <c r="M234" s="1" t="s">
        <v>1183</v>
      </c>
      <c r="N234" s="1" t="s">
        <v>1184</v>
      </c>
      <c r="O234" s="1" t="s">
        <v>1185</v>
      </c>
      <c r="P234" s="1" t="s">
        <v>2707</v>
      </c>
      <c r="Q234" s="1" t="s">
        <v>48</v>
      </c>
      <c r="R234" s="1">
        <v>7</v>
      </c>
      <c r="S234" s="1">
        <v>37</v>
      </c>
      <c r="T234" s="1" t="s">
        <v>7894</v>
      </c>
      <c r="U234" s="1" t="str">
        <f>HYPERLINK("http://dx.doi.org/10.1021/acsomega.2c04051","http://dx.doi.org/10.1021/acsomega.2c04051")</f>
        <v>http://dx.doi.org/10.1021/acsomega.2c04051</v>
      </c>
      <c r="V234" s="1">
        <v>15</v>
      </c>
      <c r="W234" s="1" t="s">
        <v>2292</v>
      </c>
      <c r="X234" s="1" t="s">
        <v>67</v>
      </c>
      <c r="Y234" s="1" t="s">
        <v>2293</v>
      </c>
      <c r="Z234" s="1">
        <v>36157758</v>
      </c>
      <c r="AA234" s="1" t="s">
        <v>337</v>
      </c>
    </row>
    <row r="235" spans="1:27" s="1" customFormat="1" ht="18.5" x14ac:dyDescent="0.45">
      <c r="A235" s="1" t="s">
        <v>7960</v>
      </c>
      <c r="B235" s="1" t="s">
        <v>7961</v>
      </c>
      <c r="C235" s="1" t="s">
        <v>7824</v>
      </c>
      <c r="D235" s="1" t="s">
        <v>53</v>
      </c>
      <c r="E235" s="2">
        <v>2022</v>
      </c>
      <c r="F235" s="1" t="s">
        <v>7962</v>
      </c>
      <c r="G235" s="1" t="s">
        <v>7963</v>
      </c>
      <c r="H235" s="1" t="s">
        <v>7964</v>
      </c>
      <c r="I235" s="1">
        <v>51</v>
      </c>
      <c r="J235" s="1">
        <v>2</v>
      </c>
      <c r="K235" s="1">
        <v>1</v>
      </c>
      <c r="L235" s="1">
        <v>5</v>
      </c>
      <c r="M235" s="1" t="s">
        <v>2989</v>
      </c>
      <c r="N235" s="1" t="s">
        <v>2990</v>
      </c>
      <c r="O235" s="1" t="s">
        <v>2991</v>
      </c>
      <c r="P235" s="1" t="s">
        <v>7831</v>
      </c>
      <c r="Q235" s="1" t="s">
        <v>7832</v>
      </c>
      <c r="R235" s="1">
        <v>23</v>
      </c>
      <c r="S235" s="1">
        <v>9</v>
      </c>
      <c r="T235" s="1" t="s">
        <v>7965</v>
      </c>
      <c r="U235" s="1" t="str">
        <f>HYPERLINK("http://dx.doi.org/10.1002/cbic.202200109","http://dx.doi.org/10.1002/cbic.202200109")</f>
        <v>http://dx.doi.org/10.1002/cbic.202200109</v>
      </c>
      <c r="V235" s="1">
        <v>11</v>
      </c>
      <c r="W235" s="1" t="s">
        <v>7834</v>
      </c>
      <c r="X235" s="1" t="s">
        <v>67</v>
      </c>
      <c r="Y235" s="1" t="s">
        <v>7835</v>
      </c>
      <c r="Z235" s="1">
        <v>35225409</v>
      </c>
      <c r="AA235" s="1" t="s">
        <v>48</v>
      </c>
    </row>
    <row r="236" spans="1:27" s="1" customFormat="1" ht="18.5" x14ac:dyDescent="0.45">
      <c r="A236" s="1" t="s">
        <v>7966</v>
      </c>
      <c r="B236" s="1" t="s">
        <v>7967</v>
      </c>
      <c r="C236" s="1" t="s">
        <v>1105</v>
      </c>
      <c r="D236" s="1" t="s">
        <v>53</v>
      </c>
      <c r="E236" s="2">
        <v>2022</v>
      </c>
      <c r="F236" s="1" t="s">
        <v>7968</v>
      </c>
      <c r="G236" s="1" t="s">
        <v>7969</v>
      </c>
      <c r="H236" s="1" t="s">
        <v>7970</v>
      </c>
      <c r="I236" s="1">
        <v>105</v>
      </c>
      <c r="J236" s="1">
        <v>6</v>
      </c>
      <c r="K236" s="1">
        <v>3</v>
      </c>
      <c r="L236" s="1">
        <v>17</v>
      </c>
      <c r="M236" s="1" t="s">
        <v>285</v>
      </c>
      <c r="N236" s="1" t="s">
        <v>286</v>
      </c>
      <c r="O236" s="1" t="s">
        <v>287</v>
      </c>
      <c r="P236" s="1" t="s">
        <v>1109</v>
      </c>
      <c r="Q236" s="1" t="s">
        <v>1110</v>
      </c>
      <c r="R236" s="1">
        <v>149</v>
      </c>
      <c r="S236" s="1" t="s">
        <v>7690</v>
      </c>
      <c r="T236" s="1" t="s">
        <v>7971</v>
      </c>
      <c r="U236" s="1" t="str">
        <f>HYPERLINK("http://dx.doi.org/10.1007/s00704-022-04108-2","http://dx.doi.org/10.1007/s00704-022-04108-2")</f>
        <v>http://dx.doi.org/10.1007/s00704-022-04108-2</v>
      </c>
      <c r="V236" s="1">
        <v>19</v>
      </c>
      <c r="W236" s="1" t="s">
        <v>1112</v>
      </c>
      <c r="X236" s="1" t="s">
        <v>67</v>
      </c>
      <c r="Y236" s="1" t="s">
        <v>1112</v>
      </c>
      <c r="Z236" s="1" t="s">
        <v>48</v>
      </c>
      <c r="AA236" s="1" t="s">
        <v>48</v>
      </c>
    </row>
    <row r="237" spans="1:27" s="1" customFormat="1" ht="18.5" x14ac:dyDescent="0.45">
      <c r="A237" s="1" t="s">
        <v>7972</v>
      </c>
      <c r="B237" s="1" t="s">
        <v>7973</v>
      </c>
      <c r="C237" s="1" t="s">
        <v>404</v>
      </c>
      <c r="D237" s="1" t="s">
        <v>53</v>
      </c>
      <c r="E237" s="2">
        <v>2022</v>
      </c>
      <c r="F237" s="1" t="s">
        <v>7974</v>
      </c>
      <c r="G237" s="1" t="s">
        <v>7975</v>
      </c>
      <c r="H237" s="1" t="s">
        <v>7976</v>
      </c>
      <c r="I237" s="1">
        <v>76</v>
      </c>
      <c r="J237" s="1">
        <v>38</v>
      </c>
      <c r="K237" s="1">
        <v>9</v>
      </c>
      <c r="L237" s="1">
        <v>45</v>
      </c>
      <c r="M237" s="1" t="s">
        <v>410</v>
      </c>
      <c r="N237" s="1" t="s">
        <v>411</v>
      </c>
      <c r="O237" s="1" t="s">
        <v>412</v>
      </c>
      <c r="P237" s="1" t="s">
        <v>413</v>
      </c>
      <c r="Q237" s="1" t="s">
        <v>48</v>
      </c>
      <c r="R237" s="1">
        <v>12</v>
      </c>
      <c r="S237" s="1">
        <v>1</v>
      </c>
      <c r="T237" s="1" t="s">
        <v>7977</v>
      </c>
      <c r="U237" s="1" t="str">
        <f>HYPERLINK("http://dx.doi.org/10.1038/s41598-022-11716-5","http://dx.doi.org/10.1038/s41598-022-11716-5")</f>
        <v>http://dx.doi.org/10.1038/s41598-022-11716-5</v>
      </c>
      <c r="V237" s="1">
        <v>17</v>
      </c>
      <c r="W237" s="1" t="s">
        <v>335</v>
      </c>
      <c r="X237" s="1" t="s">
        <v>944</v>
      </c>
      <c r="Y237" s="1" t="s">
        <v>336</v>
      </c>
      <c r="Z237" s="1">
        <v>35551238</v>
      </c>
      <c r="AA237" s="1" t="s">
        <v>337</v>
      </c>
    </row>
    <row r="238" spans="1:27" s="1" customFormat="1" ht="18.5" x14ac:dyDescent="0.45">
      <c r="A238" s="1" t="s">
        <v>7988</v>
      </c>
      <c r="B238" s="1" t="s">
        <v>7989</v>
      </c>
      <c r="C238" s="1" t="s">
        <v>155</v>
      </c>
      <c r="D238" s="1" t="s">
        <v>53</v>
      </c>
      <c r="E238" s="2">
        <v>2022</v>
      </c>
      <c r="F238" s="1" t="s">
        <v>7990</v>
      </c>
      <c r="G238" s="1" t="s">
        <v>7991</v>
      </c>
      <c r="H238" s="1" t="s">
        <v>7992</v>
      </c>
      <c r="I238" s="1">
        <v>86</v>
      </c>
      <c r="J238" s="1">
        <v>34</v>
      </c>
      <c r="K238" s="1">
        <v>21</v>
      </c>
      <c r="L238" s="1">
        <v>92</v>
      </c>
      <c r="M238" s="1" t="s">
        <v>60</v>
      </c>
      <c r="N238" s="1" t="s">
        <v>158</v>
      </c>
      <c r="O238" s="1" t="s">
        <v>159</v>
      </c>
      <c r="P238" s="1" t="s">
        <v>160</v>
      </c>
      <c r="Q238" s="1" t="s">
        <v>161</v>
      </c>
      <c r="R238" s="1">
        <v>364</v>
      </c>
      <c r="S238" s="1" t="s">
        <v>48</v>
      </c>
      <c r="T238" s="1" t="s">
        <v>7993</v>
      </c>
      <c r="U238" s="1" t="str">
        <f>HYPERLINK("http://dx.doi.org/10.1016/j.jclepro.2022.132428","http://dx.doi.org/10.1016/j.jclepro.2022.132428")</f>
        <v>http://dx.doi.org/10.1016/j.jclepro.2022.132428</v>
      </c>
      <c r="V238" s="1">
        <v>17</v>
      </c>
      <c r="W238" s="1" t="s">
        <v>164</v>
      </c>
      <c r="X238" s="1" t="s">
        <v>67</v>
      </c>
      <c r="Y238" s="1" t="s">
        <v>165</v>
      </c>
      <c r="Z238" s="1" t="s">
        <v>48</v>
      </c>
      <c r="AA238" s="1" t="s">
        <v>48</v>
      </c>
    </row>
    <row r="239" spans="1:27" s="1" customFormat="1" ht="18.5" x14ac:dyDescent="0.45">
      <c r="A239" s="1" t="s">
        <v>8013</v>
      </c>
      <c r="B239" s="1" t="s">
        <v>8014</v>
      </c>
      <c r="C239" s="1" t="s">
        <v>8015</v>
      </c>
      <c r="D239" s="1" t="s">
        <v>53</v>
      </c>
      <c r="E239" s="2">
        <v>2022</v>
      </c>
      <c r="F239" s="1" t="s">
        <v>8016</v>
      </c>
      <c r="G239" s="1" t="s">
        <v>8017</v>
      </c>
      <c r="H239" s="1" t="s">
        <v>2007</v>
      </c>
      <c r="I239" s="1">
        <v>39</v>
      </c>
      <c r="J239" s="1">
        <v>18</v>
      </c>
      <c r="K239" s="1">
        <v>1</v>
      </c>
      <c r="L239" s="1">
        <v>16</v>
      </c>
      <c r="M239" s="1" t="s">
        <v>215</v>
      </c>
      <c r="N239" s="1" t="s">
        <v>158</v>
      </c>
      <c r="O239" s="1" t="s">
        <v>216</v>
      </c>
      <c r="P239" s="1" t="s">
        <v>8018</v>
      </c>
      <c r="Q239" s="1" t="s">
        <v>8019</v>
      </c>
      <c r="R239" s="1">
        <v>126</v>
      </c>
      <c r="S239" s="1" t="s">
        <v>48</v>
      </c>
      <c r="T239" s="1" t="s">
        <v>8020</v>
      </c>
      <c r="U239" s="1" t="str">
        <f>HYPERLINK("http://dx.doi.org/10.1016/j.pce.2022.103135","http://dx.doi.org/10.1016/j.pce.2022.103135")</f>
        <v>http://dx.doi.org/10.1016/j.pce.2022.103135</v>
      </c>
      <c r="V239" s="1">
        <v>13</v>
      </c>
      <c r="W239" s="1" t="s">
        <v>6923</v>
      </c>
      <c r="X239" s="1" t="s">
        <v>67</v>
      </c>
      <c r="Y239" s="1" t="s">
        <v>6924</v>
      </c>
      <c r="Z239" s="1" t="s">
        <v>48</v>
      </c>
      <c r="AA239" s="1" t="s">
        <v>48</v>
      </c>
    </row>
    <row r="240" spans="1:27" s="1" customFormat="1" ht="18.5" x14ac:dyDescent="0.45">
      <c r="A240" s="1" t="s">
        <v>8021</v>
      </c>
      <c r="B240" s="1" t="s">
        <v>8022</v>
      </c>
      <c r="C240" s="1" t="s">
        <v>8023</v>
      </c>
      <c r="D240" s="1" t="s">
        <v>53</v>
      </c>
      <c r="E240" s="2">
        <v>2022</v>
      </c>
      <c r="F240" s="1" t="s">
        <v>8024</v>
      </c>
      <c r="G240" s="1" t="s">
        <v>8025</v>
      </c>
      <c r="H240" s="1" t="s">
        <v>8026</v>
      </c>
      <c r="I240" s="1">
        <v>60</v>
      </c>
      <c r="J240" s="1">
        <v>3</v>
      </c>
      <c r="K240" s="1">
        <v>1</v>
      </c>
      <c r="L240" s="1">
        <v>20</v>
      </c>
      <c r="M240" s="1" t="s">
        <v>1183</v>
      </c>
      <c r="N240" s="1" t="s">
        <v>1184</v>
      </c>
      <c r="O240" s="1" t="s">
        <v>1185</v>
      </c>
      <c r="P240" s="1" t="s">
        <v>8027</v>
      </c>
      <c r="Q240" s="1" t="s">
        <v>8028</v>
      </c>
      <c r="R240" s="1">
        <v>14</v>
      </c>
      <c r="S240" s="1">
        <v>23</v>
      </c>
      <c r="T240" s="1" t="s">
        <v>8029</v>
      </c>
      <c r="U240" s="1" t="str">
        <f>HYPERLINK("http://dx.doi.org/10.1021/acsami.2c02377","http://dx.doi.org/10.1021/acsami.2c02377")</f>
        <v>http://dx.doi.org/10.1021/acsami.2c02377</v>
      </c>
      <c r="V240" s="1">
        <v>11</v>
      </c>
      <c r="W240" s="1" t="s">
        <v>3662</v>
      </c>
      <c r="X240" s="1" t="s">
        <v>67</v>
      </c>
      <c r="Y240" s="1" t="s">
        <v>3663</v>
      </c>
      <c r="Z240" s="1" t="s">
        <v>48</v>
      </c>
      <c r="AA240" s="1" t="s">
        <v>48</v>
      </c>
    </row>
    <row r="241" spans="1:27" s="1" customFormat="1" ht="18.5" x14ac:dyDescent="0.45">
      <c r="A241" s="1" t="s">
        <v>8030</v>
      </c>
      <c r="B241" s="1" t="s">
        <v>8031</v>
      </c>
      <c r="C241" s="1" t="s">
        <v>7664</v>
      </c>
      <c r="D241" s="1" t="s">
        <v>53</v>
      </c>
      <c r="E241" s="2">
        <v>2022</v>
      </c>
      <c r="F241" s="1" t="s">
        <v>8032</v>
      </c>
      <c r="G241" s="1" t="s">
        <v>8033</v>
      </c>
      <c r="H241" s="1" t="s">
        <v>8034</v>
      </c>
      <c r="I241" s="1">
        <v>84</v>
      </c>
      <c r="J241" s="1">
        <v>5</v>
      </c>
      <c r="K241" s="1">
        <v>3</v>
      </c>
      <c r="L241" s="1">
        <v>31</v>
      </c>
      <c r="M241" s="1" t="s">
        <v>132</v>
      </c>
      <c r="N241" s="1" t="s">
        <v>133</v>
      </c>
      <c r="O241" s="1" t="s">
        <v>134</v>
      </c>
      <c r="P241" s="1" t="s">
        <v>48</v>
      </c>
      <c r="Q241" s="1" t="s">
        <v>7668</v>
      </c>
      <c r="R241" s="1">
        <v>11</v>
      </c>
      <c r="S241" s="1">
        <v>11</v>
      </c>
      <c r="T241" s="1" t="s">
        <v>8035</v>
      </c>
      <c r="U241" s="1" t="str">
        <f>HYPERLINK("http://dx.doi.org/10.3390/land11112007","http://dx.doi.org/10.3390/land11112007")</f>
        <v>http://dx.doi.org/10.3390/land11112007</v>
      </c>
      <c r="V241" s="1">
        <v>20</v>
      </c>
      <c r="W241" s="1" t="s">
        <v>4193</v>
      </c>
      <c r="X241" s="1" t="s">
        <v>106</v>
      </c>
      <c r="Y241" s="1" t="s">
        <v>439</v>
      </c>
      <c r="Z241" s="1" t="s">
        <v>48</v>
      </c>
      <c r="AA241" s="1" t="s">
        <v>337</v>
      </c>
    </row>
    <row r="242" spans="1:27" s="1" customFormat="1" ht="18.5" x14ac:dyDescent="0.45">
      <c r="A242" s="1" t="s">
        <v>8051</v>
      </c>
      <c r="B242" s="1" t="s">
        <v>8052</v>
      </c>
      <c r="C242" s="1" t="s">
        <v>4698</v>
      </c>
      <c r="D242" s="1" t="s">
        <v>53</v>
      </c>
      <c r="E242" s="2">
        <v>2022</v>
      </c>
      <c r="F242" s="1" t="s">
        <v>8053</v>
      </c>
      <c r="G242" s="1" t="s">
        <v>8054</v>
      </c>
      <c r="H242" s="1" t="s">
        <v>7846</v>
      </c>
      <c r="I242" s="1">
        <v>64</v>
      </c>
      <c r="J242" s="1">
        <v>11</v>
      </c>
      <c r="K242" s="1">
        <v>2</v>
      </c>
      <c r="L242" s="1">
        <v>15</v>
      </c>
      <c r="M242" s="1" t="s">
        <v>79</v>
      </c>
      <c r="N242" s="1" t="s">
        <v>80</v>
      </c>
      <c r="O242" s="1" t="s">
        <v>81</v>
      </c>
      <c r="P242" s="1" t="s">
        <v>4701</v>
      </c>
      <c r="Q242" s="1" t="s">
        <v>4702</v>
      </c>
      <c r="R242" s="1">
        <v>1253</v>
      </c>
      <c r="S242" s="1" t="s">
        <v>48</v>
      </c>
      <c r="T242" s="1" t="s">
        <v>8055</v>
      </c>
      <c r="U242" s="1" t="str">
        <f>HYPERLINK("http://dx.doi.org/10.1016/j.molstruc.2021.132295","http://dx.doi.org/10.1016/j.molstruc.2021.132295")</f>
        <v>http://dx.doi.org/10.1016/j.molstruc.2021.132295</v>
      </c>
      <c r="V242" s="1">
        <v>12</v>
      </c>
      <c r="W242" s="1" t="s">
        <v>2899</v>
      </c>
      <c r="X242" s="1" t="s">
        <v>67</v>
      </c>
      <c r="Y242" s="1" t="s">
        <v>2293</v>
      </c>
      <c r="Z242" s="1" t="s">
        <v>48</v>
      </c>
      <c r="AA242" s="1" t="s">
        <v>48</v>
      </c>
    </row>
    <row r="243" spans="1:27" s="1" customFormat="1" ht="18.5" x14ac:dyDescent="0.45">
      <c r="A243" s="1" t="s">
        <v>8066</v>
      </c>
      <c r="B243" s="1" t="s">
        <v>8067</v>
      </c>
      <c r="C243" s="1" t="s">
        <v>6112</v>
      </c>
      <c r="D243" s="1" t="s">
        <v>53</v>
      </c>
      <c r="E243" s="2">
        <v>2022</v>
      </c>
      <c r="F243" s="1" t="s">
        <v>8068</v>
      </c>
      <c r="G243" s="1" t="s">
        <v>8069</v>
      </c>
      <c r="H243" s="1" t="s">
        <v>8070</v>
      </c>
      <c r="I243" s="1">
        <v>80</v>
      </c>
      <c r="J243" s="1">
        <v>17</v>
      </c>
      <c r="K243" s="1">
        <v>5</v>
      </c>
      <c r="L243" s="1">
        <v>62</v>
      </c>
      <c r="M243" s="1" t="s">
        <v>79</v>
      </c>
      <c r="N243" s="1" t="s">
        <v>80</v>
      </c>
      <c r="O243" s="1" t="s">
        <v>81</v>
      </c>
      <c r="P243" s="1" t="s">
        <v>6115</v>
      </c>
      <c r="Q243" s="1" t="s">
        <v>6116</v>
      </c>
      <c r="R243" s="1">
        <v>250</v>
      </c>
      <c r="S243" s="1" t="s">
        <v>48</v>
      </c>
      <c r="T243" s="1" t="s">
        <v>8071</v>
      </c>
      <c r="U243" s="1" t="str">
        <f>HYPERLINK("http://dx.doi.org/10.1016/j.knosys.2022.109048","http://dx.doi.org/10.1016/j.knosys.2022.109048")</f>
        <v>http://dx.doi.org/10.1016/j.knosys.2022.109048</v>
      </c>
      <c r="V243" s="1">
        <v>18</v>
      </c>
      <c r="W243" s="1" t="s">
        <v>549</v>
      </c>
      <c r="X243" s="1" t="s">
        <v>67</v>
      </c>
      <c r="Y243" s="1" t="s">
        <v>292</v>
      </c>
      <c r="Z243" s="1" t="s">
        <v>48</v>
      </c>
      <c r="AA243" s="1" t="s">
        <v>48</v>
      </c>
    </row>
    <row r="244" spans="1:27" s="1" customFormat="1" ht="18.5" x14ac:dyDescent="0.45">
      <c r="A244" s="1" t="s">
        <v>8082</v>
      </c>
      <c r="B244" s="1" t="s">
        <v>8083</v>
      </c>
      <c r="C244" s="1" t="s">
        <v>404</v>
      </c>
      <c r="D244" s="1" t="s">
        <v>53</v>
      </c>
      <c r="E244" s="2">
        <v>2022</v>
      </c>
      <c r="F244" s="1" t="s">
        <v>8084</v>
      </c>
      <c r="G244" s="1" t="s">
        <v>8085</v>
      </c>
      <c r="H244" s="1" t="s">
        <v>8070</v>
      </c>
      <c r="I244" s="1">
        <v>78</v>
      </c>
      <c r="J244" s="1">
        <v>12</v>
      </c>
      <c r="K244" s="1">
        <v>3</v>
      </c>
      <c r="L244" s="1">
        <v>9</v>
      </c>
      <c r="M244" s="1" t="s">
        <v>410</v>
      </c>
      <c r="N244" s="1" t="s">
        <v>411</v>
      </c>
      <c r="O244" s="1" t="s">
        <v>412</v>
      </c>
      <c r="P244" s="1" t="s">
        <v>413</v>
      </c>
      <c r="Q244" s="1" t="s">
        <v>48</v>
      </c>
      <c r="R244" s="1">
        <v>12</v>
      </c>
      <c r="S244" s="1">
        <v>1</v>
      </c>
      <c r="T244" s="1" t="s">
        <v>8086</v>
      </c>
      <c r="U244" s="1" t="str">
        <f>HYPERLINK("http://dx.doi.org/10.1038/s41598-022-18225-5","http://dx.doi.org/10.1038/s41598-022-18225-5")</f>
        <v>http://dx.doi.org/10.1038/s41598-022-18225-5</v>
      </c>
      <c r="V244" s="1">
        <v>20</v>
      </c>
      <c r="W244" s="1" t="s">
        <v>335</v>
      </c>
      <c r="X244" s="1" t="s">
        <v>67</v>
      </c>
      <c r="Y244" s="1" t="s">
        <v>336</v>
      </c>
      <c r="Z244" s="1">
        <v>35995829</v>
      </c>
      <c r="AA244" s="1" t="s">
        <v>337</v>
      </c>
    </row>
    <row r="245" spans="1:27" s="1" customFormat="1" ht="18.5" x14ac:dyDescent="0.45">
      <c r="A245" s="1" t="s">
        <v>8097</v>
      </c>
      <c r="B245" s="1" t="s">
        <v>8098</v>
      </c>
      <c r="C245" s="1" t="s">
        <v>8099</v>
      </c>
      <c r="D245" s="1" t="s">
        <v>53</v>
      </c>
      <c r="E245" s="2">
        <v>2022</v>
      </c>
      <c r="F245" s="1" t="s">
        <v>8100</v>
      </c>
      <c r="G245" s="1" t="s">
        <v>8101</v>
      </c>
      <c r="H245" s="1" t="s">
        <v>8102</v>
      </c>
      <c r="I245" s="1">
        <v>39</v>
      </c>
      <c r="J245" s="1">
        <v>9</v>
      </c>
      <c r="K245" s="1">
        <v>0</v>
      </c>
      <c r="L245" s="1">
        <v>2</v>
      </c>
      <c r="M245" s="1" t="s">
        <v>79</v>
      </c>
      <c r="N245" s="1" t="s">
        <v>80</v>
      </c>
      <c r="O245" s="1" t="s">
        <v>81</v>
      </c>
      <c r="P245" s="1" t="s">
        <v>48</v>
      </c>
      <c r="Q245" s="1" t="s">
        <v>8103</v>
      </c>
      <c r="R245" s="1">
        <v>7</v>
      </c>
      <c r="S245" s="1" t="s">
        <v>48</v>
      </c>
      <c r="T245" s="1" t="s">
        <v>8104</v>
      </c>
      <c r="U245" s="1" t="str">
        <f>HYPERLINK("http://dx.doi.org/10.1016/j.tfp.2021.100183","http://dx.doi.org/10.1016/j.tfp.2021.100183")</f>
        <v>http://dx.doi.org/10.1016/j.tfp.2021.100183</v>
      </c>
      <c r="V245" s="1">
        <v>10</v>
      </c>
      <c r="W245" s="1" t="s">
        <v>7679</v>
      </c>
      <c r="X245" s="1" t="s">
        <v>124</v>
      </c>
      <c r="Y245" s="1" t="s">
        <v>7679</v>
      </c>
      <c r="Z245" s="1" t="s">
        <v>48</v>
      </c>
      <c r="AA245" s="1" t="s">
        <v>125</v>
      </c>
    </row>
    <row r="246" spans="1:27" s="1" customFormat="1" ht="18.5" x14ac:dyDescent="0.45">
      <c r="A246" s="1" t="s">
        <v>8115</v>
      </c>
      <c r="B246" s="1" t="s">
        <v>8116</v>
      </c>
      <c r="C246" s="1" t="s">
        <v>404</v>
      </c>
      <c r="D246" s="1" t="s">
        <v>53</v>
      </c>
      <c r="E246" s="2">
        <v>2022</v>
      </c>
      <c r="F246" s="1" t="s">
        <v>8117</v>
      </c>
      <c r="G246" s="1" t="s">
        <v>8118</v>
      </c>
      <c r="H246" s="1" t="s">
        <v>8119</v>
      </c>
      <c r="I246" s="1">
        <v>31</v>
      </c>
      <c r="J246" s="1">
        <v>7</v>
      </c>
      <c r="K246" s="1">
        <v>1</v>
      </c>
      <c r="L246" s="1">
        <v>10</v>
      </c>
      <c r="M246" s="1" t="s">
        <v>410</v>
      </c>
      <c r="N246" s="1" t="s">
        <v>411</v>
      </c>
      <c r="O246" s="1" t="s">
        <v>412</v>
      </c>
      <c r="P246" s="1" t="s">
        <v>413</v>
      </c>
      <c r="Q246" s="1" t="s">
        <v>48</v>
      </c>
      <c r="R246" s="1">
        <v>12</v>
      </c>
      <c r="S246" s="1">
        <v>1</v>
      </c>
      <c r="T246" s="1" t="s">
        <v>8120</v>
      </c>
      <c r="U246" s="1" t="str">
        <f>HYPERLINK("http://dx.doi.org/10.1038/s41598-021-04399-x","http://dx.doi.org/10.1038/s41598-021-04399-x")</f>
        <v>http://dx.doi.org/10.1038/s41598-021-04399-x</v>
      </c>
      <c r="V246" s="1">
        <v>11</v>
      </c>
      <c r="W246" s="1" t="s">
        <v>335</v>
      </c>
      <c r="X246" s="1" t="s">
        <v>67</v>
      </c>
      <c r="Y246" s="1" t="s">
        <v>336</v>
      </c>
      <c r="Z246" s="1">
        <v>35022476</v>
      </c>
      <c r="AA246" s="1" t="s">
        <v>337</v>
      </c>
    </row>
    <row r="247" spans="1:27" s="1" customFormat="1" ht="18.5" x14ac:dyDescent="0.45">
      <c r="A247" s="1" t="s">
        <v>8121</v>
      </c>
      <c r="B247" s="1" t="s">
        <v>8122</v>
      </c>
      <c r="C247" s="1" t="s">
        <v>8123</v>
      </c>
      <c r="D247" s="1" t="s">
        <v>53</v>
      </c>
      <c r="E247" s="2">
        <v>2022</v>
      </c>
      <c r="F247" s="1" t="s">
        <v>8124</v>
      </c>
      <c r="G247" s="1" t="s">
        <v>8125</v>
      </c>
      <c r="H247" s="1" t="s">
        <v>8126</v>
      </c>
      <c r="I247" s="1">
        <v>75</v>
      </c>
      <c r="J247" s="1">
        <v>9</v>
      </c>
      <c r="K247" s="1">
        <v>1</v>
      </c>
      <c r="L247" s="1">
        <v>16</v>
      </c>
      <c r="M247" s="1" t="s">
        <v>1183</v>
      </c>
      <c r="N247" s="1" t="s">
        <v>1184</v>
      </c>
      <c r="O247" s="1" t="s">
        <v>1185</v>
      </c>
      <c r="P247" s="1" t="s">
        <v>8127</v>
      </c>
      <c r="Q247" s="1" t="s">
        <v>8128</v>
      </c>
      <c r="R247" s="1">
        <v>62</v>
      </c>
      <c r="S247" s="1">
        <v>6</v>
      </c>
      <c r="T247" s="1" t="s">
        <v>8129</v>
      </c>
      <c r="U247" s="1" t="str">
        <f>HYPERLINK("http://dx.doi.org/10.1021/acs.jcim.1c01280","http://dx.doi.org/10.1021/acs.jcim.1c01280")</f>
        <v>http://dx.doi.org/10.1021/acs.jcim.1c01280</v>
      </c>
      <c r="V247" s="1">
        <v>21</v>
      </c>
      <c r="W247" s="1" t="s">
        <v>8130</v>
      </c>
      <c r="X247" s="1" t="s">
        <v>67</v>
      </c>
      <c r="Y247" s="1" t="s">
        <v>8131</v>
      </c>
      <c r="Z247" s="1">
        <v>35253430</v>
      </c>
      <c r="AA247" s="1" t="s">
        <v>48</v>
      </c>
    </row>
    <row r="248" spans="1:27" s="1" customFormat="1" ht="18.5" x14ac:dyDescent="0.45">
      <c r="A248" s="1" t="s">
        <v>8266</v>
      </c>
      <c r="B248" s="1" t="s">
        <v>8267</v>
      </c>
      <c r="C248" s="1" t="s">
        <v>1105</v>
      </c>
      <c r="D248" s="1" t="s">
        <v>53</v>
      </c>
      <c r="E248" s="2">
        <v>2022</v>
      </c>
      <c r="F248" s="1" t="s">
        <v>8268</v>
      </c>
      <c r="G248" s="1" t="s">
        <v>8269</v>
      </c>
      <c r="H248" s="1" t="s">
        <v>8270</v>
      </c>
      <c r="I248" s="1">
        <v>117</v>
      </c>
      <c r="J248" s="1">
        <v>28</v>
      </c>
      <c r="K248" s="1">
        <v>3</v>
      </c>
      <c r="L248" s="1">
        <v>22</v>
      </c>
      <c r="M248" s="1" t="s">
        <v>285</v>
      </c>
      <c r="N248" s="1" t="s">
        <v>286</v>
      </c>
      <c r="O248" s="1" t="s">
        <v>287</v>
      </c>
      <c r="P248" s="1" t="s">
        <v>1109</v>
      </c>
      <c r="Q248" s="1" t="s">
        <v>1110</v>
      </c>
      <c r="R248" s="1">
        <v>150</v>
      </c>
      <c r="S248" s="1" t="s">
        <v>1614</v>
      </c>
      <c r="T248" s="1" t="s">
        <v>8271</v>
      </c>
      <c r="U248" s="1" t="str">
        <f>HYPERLINK("http://dx.doi.org/10.1007/s00704-022-04180-8","http://dx.doi.org/10.1007/s00704-022-04180-8")</f>
        <v>http://dx.doi.org/10.1007/s00704-022-04180-8</v>
      </c>
      <c r="V248" s="1">
        <v>23</v>
      </c>
      <c r="W248" s="1" t="s">
        <v>1112</v>
      </c>
      <c r="X248" s="1" t="s">
        <v>67</v>
      </c>
      <c r="Y248" s="1" t="s">
        <v>1112</v>
      </c>
      <c r="Z248" s="1" t="s">
        <v>48</v>
      </c>
      <c r="AA248" s="1" t="s">
        <v>48</v>
      </c>
    </row>
    <row r="249" spans="1:27" s="1" customFormat="1" ht="18.5" x14ac:dyDescent="0.45">
      <c r="A249" s="1" t="s">
        <v>8272</v>
      </c>
      <c r="B249" s="1" t="s">
        <v>8273</v>
      </c>
      <c r="C249" s="1" t="s">
        <v>8274</v>
      </c>
      <c r="D249" s="1" t="s">
        <v>53</v>
      </c>
      <c r="E249" s="2">
        <v>2022</v>
      </c>
      <c r="F249" s="1" t="s">
        <v>8275</v>
      </c>
      <c r="G249" s="1" t="s">
        <v>8276</v>
      </c>
      <c r="H249" s="1" t="s">
        <v>8277</v>
      </c>
      <c r="I249" s="1">
        <v>70</v>
      </c>
      <c r="J249" s="1">
        <v>16</v>
      </c>
      <c r="K249" s="1">
        <v>6</v>
      </c>
      <c r="L249" s="1">
        <v>28</v>
      </c>
      <c r="M249" s="1" t="s">
        <v>132</v>
      </c>
      <c r="N249" s="1" t="s">
        <v>133</v>
      </c>
      <c r="O249" s="1" t="s">
        <v>134</v>
      </c>
      <c r="P249" s="1" t="s">
        <v>48</v>
      </c>
      <c r="Q249" s="1" t="s">
        <v>8278</v>
      </c>
      <c r="R249" s="1">
        <v>12</v>
      </c>
      <c r="S249" s="1">
        <v>9</v>
      </c>
      <c r="T249" s="1" t="s">
        <v>8279</v>
      </c>
      <c r="U249" s="1" t="str">
        <f>HYPERLINK("http://dx.doi.org/10.3390/agronomy12092129","http://dx.doi.org/10.3390/agronomy12092129")</f>
        <v>http://dx.doi.org/10.3390/agronomy12092129</v>
      </c>
      <c r="V249" s="1">
        <v>26</v>
      </c>
      <c r="W249" s="1" t="s">
        <v>8280</v>
      </c>
      <c r="X249" s="1" t="s">
        <v>67</v>
      </c>
      <c r="Y249" s="1" t="s">
        <v>8281</v>
      </c>
      <c r="Z249" s="1" t="s">
        <v>48</v>
      </c>
      <c r="AA249" s="1" t="s">
        <v>3590</v>
      </c>
    </row>
    <row r="250" spans="1:27" s="1" customFormat="1" ht="18.5" x14ac:dyDescent="0.45">
      <c r="A250" s="1" t="s">
        <v>8282</v>
      </c>
      <c r="B250" s="1" t="s">
        <v>8283</v>
      </c>
      <c r="C250" s="1" t="s">
        <v>6567</v>
      </c>
      <c r="D250" s="1" t="s">
        <v>53</v>
      </c>
      <c r="E250" s="2">
        <v>2022</v>
      </c>
      <c r="F250" s="1" t="s">
        <v>8284</v>
      </c>
      <c r="G250" s="1" t="s">
        <v>8285</v>
      </c>
      <c r="H250" s="1" t="s">
        <v>8286</v>
      </c>
      <c r="I250" s="1">
        <v>81</v>
      </c>
      <c r="J250" s="1">
        <v>16</v>
      </c>
      <c r="K250" s="1">
        <v>2</v>
      </c>
      <c r="L250" s="1">
        <v>35</v>
      </c>
      <c r="M250" s="1" t="s">
        <v>266</v>
      </c>
      <c r="N250" s="1" t="s">
        <v>267</v>
      </c>
      <c r="O250" s="1" t="s">
        <v>268</v>
      </c>
      <c r="P250" s="1" t="s">
        <v>6571</v>
      </c>
      <c r="Q250" s="1" t="s">
        <v>6572</v>
      </c>
      <c r="R250" s="1">
        <v>210</v>
      </c>
      <c r="S250" s="1" t="s">
        <v>48</v>
      </c>
      <c r="T250" s="1" t="s">
        <v>8287</v>
      </c>
      <c r="U250" s="1" t="str">
        <f>HYPERLINK("http://dx.doi.org/10.1016/j.envres.2022.112818","http://dx.doi.org/10.1016/j.envres.2022.112818")</f>
        <v>http://dx.doi.org/10.1016/j.envres.2022.112818</v>
      </c>
      <c r="V250" s="1">
        <v>18</v>
      </c>
      <c r="W250" s="1" t="s">
        <v>6576</v>
      </c>
      <c r="X250" s="1" t="s">
        <v>67</v>
      </c>
      <c r="Y250" s="1" t="s">
        <v>6577</v>
      </c>
      <c r="Z250" s="1">
        <v>35104482</v>
      </c>
      <c r="AA250" s="1" t="s">
        <v>8288</v>
      </c>
    </row>
    <row r="251" spans="1:27" s="1" customFormat="1" ht="18.5" x14ac:dyDescent="0.45">
      <c r="A251" s="1" t="s">
        <v>8335</v>
      </c>
      <c r="B251" s="1" t="s">
        <v>8336</v>
      </c>
      <c r="C251" s="1" t="s">
        <v>8274</v>
      </c>
      <c r="D251" s="1" t="s">
        <v>53</v>
      </c>
      <c r="E251" s="2">
        <v>2022</v>
      </c>
      <c r="F251" s="1" t="s">
        <v>8337</v>
      </c>
      <c r="G251" s="1" t="s">
        <v>8338</v>
      </c>
      <c r="H251" s="1" t="s">
        <v>8339</v>
      </c>
      <c r="I251" s="1">
        <v>60</v>
      </c>
      <c r="J251" s="1">
        <v>5</v>
      </c>
      <c r="K251" s="1">
        <v>1</v>
      </c>
      <c r="L251" s="1">
        <v>5</v>
      </c>
      <c r="M251" s="1" t="s">
        <v>132</v>
      </c>
      <c r="N251" s="1" t="s">
        <v>133</v>
      </c>
      <c r="O251" s="1" t="s">
        <v>134</v>
      </c>
      <c r="P251" s="1" t="s">
        <v>48</v>
      </c>
      <c r="Q251" s="1" t="s">
        <v>8278</v>
      </c>
      <c r="R251" s="1">
        <v>12</v>
      </c>
      <c r="S251" s="1">
        <v>6</v>
      </c>
      <c r="T251" s="1" t="s">
        <v>8340</v>
      </c>
      <c r="U251" s="1" t="str">
        <f>HYPERLINK("http://dx.doi.org/10.3390/agronomy12061268","http://dx.doi.org/10.3390/agronomy12061268")</f>
        <v>http://dx.doi.org/10.3390/agronomy12061268</v>
      </c>
      <c r="V251" s="1">
        <v>23</v>
      </c>
      <c r="W251" s="1" t="s">
        <v>8280</v>
      </c>
      <c r="X251" s="1" t="s">
        <v>67</v>
      </c>
      <c r="Y251" s="1" t="s">
        <v>8281</v>
      </c>
      <c r="Z251" s="1" t="s">
        <v>48</v>
      </c>
      <c r="AA251" s="1" t="s">
        <v>125</v>
      </c>
    </row>
    <row r="252" spans="1:27" s="1" customFormat="1" ht="18.5" x14ac:dyDescent="0.45">
      <c r="A252" s="1" t="s">
        <v>8362</v>
      </c>
      <c r="B252" s="1" t="s">
        <v>8363</v>
      </c>
      <c r="C252" s="1" t="s">
        <v>8364</v>
      </c>
      <c r="D252" s="1" t="s">
        <v>1114</v>
      </c>
      <c r="E252" s="2">
        <v>2022</v>
      </c>
      <c r="F252" s="1" t="s">
        <v>8365</v>
      </c>
      <c r="G252" s="1" t="s">
        <v>8366</v>
      </c>
      <c r="H252" s="1" t="s">
        <v>8367</v>
      </c>
      <c r="I252" s="1">
        <v>110</v>
      </c>
      <c r="J252" s="1">
        <v>5</v>
      </c>
      <c r="K252" s="1">
        <v>1</v>
      </c>
      <c r="L252" s="1">
        <v>11</v>
      </c>
      <c r="M252" s="1" t="s">
        <v>2283</v>
      </c>
      <c r="N252" s="1" t="s">
        <v>632</v>
      </c>
      <c r="O252" s="1" t="s">
        <v>2284</v>
      </c>
      <c r="P252" s="1" t="s">
        <v>8368</v>
      </c>
      <c r="Q252" s="1" t="s">
        <v>8369</v>
      </c>
      <c r="R252" s="1">
        <v>2022</v>
      </c>
      <c r="S252" s="1" t="s">
        <v>48</v>
      </c>
      <c r="T252" s="1" t="s">
        <v>8371</v>
      </c>
      <c r="U252" s="1" t="str">
        <f>HYPERLINK("http://dx.doi.org/10.1155/2022/1066350","http://dx.doi.org/10.1155/2022/1066350")</f>
        <v>http://dx.doi.org/10.1155/2022/1066350</v>
      </c>
      <c r="V252" s="1">
        <v>17</v>
      </c>
      <c r="W252" s="1" t="s">
        <v>943</v>
      </c>
      <c r="X252" s="1" t="s">
        <v>944</v>
      </c>
      <c r="Y252" s="1" t="s">
        <v>943</v>
      </c>
      <c r="Z252" s="1">
        <v>36246469</v>
      </c>
      <c r="AA252" s="1" t="s">
        <v>8372</v>
      </c>
    </row>
    <row r="253" spans="1:27" s="1" customFormat="1" ht="18.5" x14ac:dyDescent="0.45">
      <c r="A253" s="1" t="s">
        <v>8373</v>
      </c>
      <c r="B253" s="1" t="s">
        <v>8374</v>
      </c>
      <c r="C253" s="1" t="s">
        <v>8375</v>
      </c>
      <c r="D253" s="1" t="s">
        <v>53</v>
      </c>
      <c r="E253" s="2">
        <v>2022</v>
      </c>
      <c r="F253" s="1" t="s">
        <v>8376</v>
      </c>
      <c r="G253" s="1" t="s">
        <v>8377</v>
      </c>
      <c r="H253" s="1" t="s">
        <v>8378</v>
      </c>
      <c r="I253" s="1">
        <v>89</v>
      </c>
      <c r="J253" s="1">
        <v>4</v>
      </c>
      <c r="K253" s="1">
        <v>1</v>
      </c>
      <c r="L253" s="1">
        <v>11</v>
      </c>
      <c r="M253" s="1" t="s">
        <v>360</v>
      </c>
      <c r="N253" s="1" t="s">
        <v>361</v>
      </c>
      <c r="O253" s="1" t="s">
        <v>362</v>
      </c>
      <c r="P253" s="1" t="s">
        <v>48</v>
      </c>
      <c r="Q253" s="1" t="s">
        <v>8379</v>
      </c>
      <c r="R253" s="1">
        <v>25</v>
      </c>
      <c r="S253" s="1">
        <v>9</v>
      </c>
      <c r="T253" s="1" t="s">
        <v>8381</v>
      </c>
      <c r="U253" s="1" t="str">
        <f>HYPERLINK("http://dx.doi.org/10.1016/j.isci.2022.105021","http://dx.doi.org/10.1016/j.isci.2022.105021")</f>
        <v>http://dx.doi.org/10.1016/j.isci.2022.105021</v>
      </c>
      <c r="V253" s="1">
        <v>25</v>
      </c>
      <c r="W253" s="1" t="s">
        <v>335</v>
      </c>
      <c r="X253" s="1" t="s">
        <v>67</v>
      </c>
      <c r="Y253" s="1" t="s">
        <v>336</v>
      </c>
      <c r="Z253" s="1">
        <v>36111254</v>
      </c>
      <c r="AA253" s="1" t="s">
        <v>366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5"/>
  <sheetViews>
    <sheetView topLeftCell="I1" workbookViewId="0">
      <pane ySplit="1" topLeftCell="A2" activePane="bottomLeft" state="frozen"/>
      <selection pane="bottomLeft" activeCell="L13" sqref="A1:AA305"/>
    </sheetView>
  </sheetViews>
  <sheetFormatPr defaultRowHeight="12.5" x14ac:dyDescent="0.25"/>
  <sheetData>
    <row r="1" spans="1:27" s="1" customFormat="1" ht="18.5" x14ac:dyDescent="0.45">
      <c r="A1" s="1" t="s">
        <v>1</v>
      </c>
      <c r="B1" s="1" t="s">
        <v>2</v>
      </c>
      <c r="C1" s="1" t="s">
        <v>3</v>
      </c>
      <c r="D1" s="1" t="s">
        <v>5</v>
      </c>
      <c r="E1" s="3" t="s">
        <v>24</v>
      </c>
      <c r="F1" s="1" t="s">
        <v>9</v>
      </c>
      <c r="G1" s="1" t="s">
        <v>10</v>
      </c>
      <c r="H1" s="1" t="s">
        <v>11</v>
      </c>
      <c r="I1" s="1" t="s">
        <v>12</v>
      </c>
      <c r="J1" s="1" t="s">
        <v>10609</v>
      </c>
      <c r="K1" s="1" t="s">
        <v>13</v>
      </c>
      <c r="L1" s="1" t="s">
        <v>14</v>
      </c>
      <c r="M1" s="1" t="s">
        <v>15</v>
      </c>
      <c r="N1" s="1" t="s">
        <v>16</v>
      </c>
      <c r="O1" s="1" t="s">
        <v>17</v>
      </c>
      <c r="P1" s="1" t="s">
        <v>18</v>
      </c>
      <c r="Q1" s="1" t="s">
        <v>19</v>
      </c>
      <c r="R1" s="1" t="s">
        <v>25</v>
      </c>
      <c r="S1" s="1" t="s">
        <v>26</v>
      </c>
      <c r="T1" s="1" t="s">
        <v>34</v>
      </c>
      <c r="U1" s="1" t="s">
        <v>35</v>
      </c>
      <c r="V1" s="1" t="s">
        <v>38</v>
      </c>
      <c r="W1" s="1" t="s">
        <v>39</v>
      </c>
      <c r="X1" s="1" t="s">
        <v>40</v>
      </c>
      <c r="Y1" s="1" t="s">
        <v>41</v>
      </c>
      <c r="Z1" s="1" t="s">
        <v>42</v>
      </c>
      <c r="AA1" s="1" t="s">
        <v>43</v>
      </c>
    </row>
    <row r="2" spans="1:27" s="1" customFormat="1" ht="18.5" x14ac:dyDescent="0.45">
      <c r="A2" s="1" t="s">
        <v>127</v>
      </c>
      <c r="B2" s="1" t="s">
        <v>128</v>
      </c>
      <c r="C2" s="1" t="s">
        <v>129</v>
      </c>
      <c r="D2" s="1" t="s">
        <v>53</v>
      </c>
      <c r="E2" s="2">
        <v>2023</v>
      </c>
      <c r="F2" s="1" t="s">
        <v>130</v>
      </c>
      <c r="G2" s="1" t="s">
        <v>58</v>
      </c>
      <c r="H2" s="1" t="s">
        <v>131</v>
      </c>
      <c r="I2" s="1">
        <v>26</v>
      </c>
      <c r="J2" s="1">
        <v>15</v>
      </c>
      <c r="K2" s="1">
        <v>1</v>
      </c>
      <c r="L2" s="1">
        <v>3</v>
      </c>
      <c r="M2" s="1" t="s">
        <v>132</v>
      </c>
      <c r="N2" s="1" t="s">
        <v>133</v>
      </c>
      <c r="O2" s="1" t="s">
        <v>134</v>
      </c>
      <c r="P2" s="1" t="s">
        <v>48</v>
      </c>
      <c r="Q2" s="1" t="s">
        <v>135</v>
      </c>
      <c r="R2" s="1">
        <v>11</v>
      </c>
      <c r="S2" s="1">
        <v>13</v>
      </c>
      <c r="T2" s="1" t="s">
        <v>138</v>
      </c>
      <c r="U2" s="1" t="str">
        <f>HYPERLINK("http://dx.doi.org/10.3390/math11132992","http://dx.doi.org/10.3390/math11132992")</f>
        <v>http://dx.doi.org/10.3390/math11132992</v>
      </c>
      <c r="V2" s="1">
        <v>19</v>
      </c>
      <c r="W2" s="1" t="s">
        <v>137</v>
      </c>
      <c r="X2" s="1" t="s">
        <v>67</v>
      </c>
      <c r="Y2" s="1" t="s">
        <v>137</v>
      </c>
      <c r="Z2" s="1" t="s">
        <v>48</v>
      </c>
      <c r="AA2" s="1" t="s">
        <v>125</v>
      </c>
    </row>
    <row r="3" spans="1:27" s="1" customFormat="1" ht="18.5" x14ac:dyDescent="0.45">
      <c r="A3" s="1" t="s">
        <v>140</v>
      </c>
      <c r="B3" s="1" t="s">
        <v>141</v>
      </c>
      <c r="C3" s="1" t="s">
        <v>142</v>
      </c>
      <c r="D3" s="1" t="s">
        <v>94</v>
      </c>
      <c r="E3" s="2">
        <v>2023</v>
      </c>
      <c r="F3" s="1" t="s">
        <v>143</v>
      </c>
      <c r="G3" s="1" t="s">
        <v>58</v>
      </c>
      <c r="H3" s="1" t="s">
        <v>144</v>
      </c>
      <c r="I3" s="1">
        <v>1</v>
      </c>
      <c r="J3" s="1">
        <v>0</v>
      </c>
      <c r="K3" s="1">
        <v>0</v>
      </c>
      <c r="L3" s="1">
        <v>0</v>
      </c>
      <c r="M3" s="1" t="s">
        <v>145</v>
      </c>
      <c r="N3" s="1" t="s">
        <v>146</v>
      </c>
      <c r="O3" s="1" t="s">
        <v>147</v>
      </c>
      <c r="P3" s="1" t="s">
        <v>148</v>
      </c>
      <c r="Q3" s="1" t="s">
        <v>149</v>
      </c>
      <c r="R3" s="1">
        <v>14</v>
      </c>
      <c r="S3" s="1">
        <v>3</v>
      </c>
      <c r="T3" s="1" t="s">
        <v>151</v>
      </c>
      <c r="U3" s="1" t="str">
        <f>HYPERLINK("http://dx.doi.org/10.1080/19472498.2023.2164983","http://dx.doi.org/10.1080/19472498.2023.2164983")</f>
        <v>http://dx.doi.org/10.1080/19472498.2023.2164983</v>
      </c>
      <c r="V3" s="1">
        <v>3</v>
      </c>
      <c r="W3" s="1" t="s">
        <v>152</v>
      </c>
      <c r="X3" s="1" t="s">
        <v>124</v>
      </c>
      <c r="Y3" s="1" t="s">
        <v>152</v>
      </c>
      <c r="Z3" s="1" t="s">
        <v>48</v>
      </c>
      <c r="AA3" s="1" t="s">
        <v>48</v>
      </c>
    </row>
    <row r="4" spans="1:27" s="1" customFormat="1" ht="18.5" x14ac:dyDescent="0.45">
      <c r="A4" s="1" t="s">
        <v>223</v>
      </c>
      <c r="B4" s="1" t="s">
        <v>224</v>
      </c>
      <c r="C4" s="1" t="s">
        <v>225</v>
      </c>
      <c r="D4" s="1" t="s">
        <v>53</v>
      </c>
      <c r="E4" s="2">
        <v>2023</v>
      </c>
      <c r="F4" s="1" t="s">
        <v>226</v>
      </c>
      <c r="G4" s="1" t="s">
        <v>58</v>
      </c>
      <c r="H4" s="1" t="s">
        <v>227</v>
      </c>
      <c r="I4" s="1">
        <v>60</v>
      </c>
      <c r="J4" s="1">
        <v>41</v>
      </c>
      <c r="K4" s="1">
        <v>5</v>
      </c>
      <c r="L4" s="1">
        <v>17</v>
      </c>
      <c r="M4" s="1" t="s">
        <v>60</v>
      </c>
      <c r="N4" s="1" t="s">
        <v>61</v>
      </c>
      <c r="O4" s="1" t="s">
        <v>62</v>
      </c>
      <c r="P4" s="1" t="s">
        <v>228</v>
      </c>
      <c r="Q4" s="1" t="s">
        <v>229</v>
      </c>
      <c r="R4" s="1">
        <v>343</v>
      </c>
      <c r="S4" s="1" t="s">
        <v>48</v>
      </c>
      <c r="T4" s="1" t="s">
        <v>230</v>
      </c>
      <c r="U4" s="1" t="str">
        <f>HYPERLINK("http://dx.doi.org/10.1016/j.apenergy.2023.121225","http://dx.doi.org/10.1016/j.apenergy.2023.121225")</f>
        <v>http://dx.doi.org/10.1016/j.apenergy.2023.121225</v>
      </c>
      <c r="V4" s="1">
        <v>18</v>
      </c>
      <c r="W4" s="1" t="s">
        <v>231</v>
      </c>
      <c r="X4" s="1" t="s">
        <v>67</v>
      </c>
      <c r="Y4" s="1" t="s">
        <v>232</v>
      </c>
      <c r="Z4" s="1" t="s">
        <v>48</v>
      </c>
      <c r="AA4" s="1" t="s">
        <v>48</v>
      </c>
    </row>
    <row r="5" spans="1:27" s="1" customFormat="1" ht="18.5" x14ac:dyDescent="0.45">
      <c r="A5" s="1" t="s">
        <v>233</v>
      </c>
      <c r="B5" s="1" t="s">
        <v>234</v>
      </c>
      <c r="C5" s="1" t="s">
        <v>235</v>
      </c>
      <c r="D5" s="1" t="s">
        <v>53</v>
      </c>
      <c r="E5" s="2">
        <v>2023</v>
      </c>
      <c r="F5" s="1" t="s">
        <v>236</v>
      </c>
      <c r="G5" s="1" t="s">
        <v>58</v>
      </c>
      <c r="H5" s="1" t="s">
        <v>237</v>
      </c>
      <c r="I5" s="1">
        <v>36</v>
      </c>
      <c r="J5" s="1">
        <v>0</v>
      </c>
      <c r="K5" s="1">
        <v>3</v>
      </c>
      <c r="L5" s="1">
        <v>3</v>
      </c>
      <c r="M5" s="1" t="s">
        <v>238</v>
      </c>
      <c r="N5" s="1" t="s">
        <v>239</v>
      </c>
      <c r="O5" s="1" t="s">
        <v>240</v>
      </c>
      <c r="P5" s="1" t="s">
        <v>241</v>
      </c>
      <c r="Q5" s="1" t="s">
        <v>242</v>
      </c>
      <c r="R5" s="1">
        <v>58</v>
      </c>
      <c r="S5" s="1">
        <v>2</v>
      </c>
      <c r="T5" s="1" t="s">
        <v>244</v>
      </c>
      <c r="U5" s="1" t="str">
        <f>HYPERLINK("http://dx.doi.org/10.1007/s43539-023-00086-0","http://dx.doi.org/10.1007/s43539-023-00086-0")</f>
        <v>http://dx.doi.org/10.1007/s43539-023-00086-0</v>
      </c>
      <c r="V5" s="1">
        <v>10</v>
      </c>
      <c r="W5" s="1" t="s">
        <v>245</v>
      </c>
      <c r="X5" s="1" t="s">
        <v>124</v>
      </c>
      <c r="Y5" s="1" t="s">
        <v>246</v>
      </c>
      <c r="Z5" s="1" t="s">
        <v>48</v>
      </c>
      <c r="AA5" s="1" t="s">
        <v>48</v>
      </c>
    </row>
    <row r="6" spans="1:27" s="1" customFormat="1" ht="18.5" x14ac:dyDescent="0.45">
      <c r="A6" s="1" t="s">
        <v>294</v>
      </c>
      <c r="B6" s="1" t="s">
        <v>295</v>
      </c>
      <c r="C6" s="1" t="s">
        <v>296</v>
      </c>
      <c r="D6" s="1" t="s">
        <v>53</v>
      </c>
      <c r="E6" s="2">
        <v>2023</v>
      </c>
      <c r="F6" s="1" t="s">
        <v>297</v>
      </c>
      <c r="G6" s="1" t="s">
        <v>115</v>
      </c>
      <c r="H6" s="1" t="s">
        <v>298</v>
      </c>
      <c r="I6" s="1">
        <v>48</v>
      </c>
      <c r="J6" s="1">
        <v>3</v>
      </c>
      <c r="K6" s="1">
        <v>7</v>
      </c>
      <c r="L6" s="1">
        <v>97</v>
      </c>
      <c r="M6" s="1" t="s">
        <v>198</v>
      </c>
      <c r="N6" s="1" t="s">
        <v>146</v>
      </c>
      <c r="O6" s="1" t="s">
        <v>199</v>
      </c>
      <c r="P6" s="1" t="s">
        <v>299</v>
      </c>
      <c r="Q6" s="1" t="s">
        <v>300</v>
      </c>
      <c r="R6" s="1">
        <v>10</v>
      </c>
      <c r="S6" s="1">
        <v>1</v>
      </c>
      <c r="T6" s="1" t="s">
        <v>304</v>
      </c>
      <c r="U6" s="1" t="str">
        <f>HYPERLINK("http://dx.doi.org/10.1080/23302674.2023.2173990","http://dx.doi.org/10.1080/23302674.2023.2173990")</f>
        <v>http://dx.doi.org/10.1080/23302674.2023.2173990</v>
      </c>
      <c r="V6" s="1">
        <v>24</v>
      </c>
      <c r="W6" s="1" t="s">
        <v>305</v>
      </c>
      <c r="X6" s="1" t="s">
        <v>67</v>
      </c>
      <c r="Y6" s="1" t="s">
        <v>306</v>
      </c>
      <c r="Z6" s="1" t="s">
        <v>48</v>
      </c>
      <c r="AA6" s="1" t="s">
        <v>48</v>
      </c>
    </row>
    <row r="7" spans="1:27" s="1" customFormat="1" ht="18.5" x14ac:dyDescent="0.45">
      <c r="A7" s="1" t="s">
        <v>355</v>
      </c>
      <c r="B7" s="1" t="s">
        <v>356</v>
      </c>
      <c r="C7" s="1" t="s">
        <v>357</v>
      </c>
      <c r="D7" s="1" t="s">
        <v>53</v>
      </c>
      <c r="E7" s="2">
        <v>2023</v>
      </c>
      <c r="F7" s="1" t="s">
        <v>358</v>
      </c>
      <c r="G7" s="1" t="s">
        <v>58</v>
      </c>
      <c r="H7" s="1" t="s">
        <v>359</v>
      </c>
      <c r="I7" s="1">
        <v>36</v>
      </c>
      <c r="J7" s="1">
        <v>3</v>
      </c>
      <c r="K7" s="1">
        <v>4</v>
      </c>
      <c r="L7" s="1">
        <v>18</v>
      </c>
      <c r="M7" s="1" t="s">
        <v>360</v>
      </c>
      <c r="N7" s="1" t="s">
        <v>361</v>
      </c>
      <c r="O7" s="1" t="s">
        <v>362</v>
      </c>
      <c r="P7" s="1" t="s">
        <v>48</v>
      </c>
      <c r="Q7" s="1" t="s">
        <v>363</v>
      </c>
      <c r="R7" s="1">
        <v>9</v>
      </c>
      <c r="S7" s="1">
        <v>6</v>
      </c>
      <c r="T7" s="1" t="s">
        <v>365</v>
      </c>
      <c r="U7" s="1" t="str">
        <f>HYPERLINK("http://dx.doi.org/10.1016/j.heliyon.2023.e16477","http://dx.doi.org/10.1016/j.heliyon.2023.e16477")</f>
        <v>http://dx.doi.org/10.1016/j.heliyon.2023.e16477</v>
      </c>
      <c r="V7" s="1">
        <v>12</v>
      </c>
      <c r="W7" s="1" t="s">
        <v>335</v>
      </c>
      <c r="X7" s="1" t="s">
        <v>67</v>
      </c>
      <c r="Y7" s="1" t="s">
        <v>336</v>
      </c>
      <c r="Z7" s="1">
        <v>37274720</v>
      </c>
      <c r="AA7" s="1" t="s">
        <v>366</v>
      </c>
    </row>
    <row r="8" spans="1:27" s="1" customFormat="1" ht="18.5" x14ac:dyDescent="0.45">
      <c r="A8" s="1" t="s">
        <v>367</v>
      </c>
      <c r="B8" s="1" t="s">
        <v>368</v>
      </c>
      <c r="C8" s="1" t="s">
        <v>369</v>
      </c>
      <c r="D8" s="1" t="s">
        <v>53</v>
      </c>
      <c r="E8" s="2">
        <v>2023</v>
      </c>
      <c r="F8" s="1" t="s">
        <v>370</v>
      </c>
      <c r="G8" s="1" t="s">
        <v>58</v>
      </c>
      <c r="H8" s="1" t="s">
        <v>131</v>
      </c>
      <c r="I8" s="1">
        <v>29</v>
      </c>
      <c r="J8" s="1">
        <v>0</v>
      </c>
      <c r="K8" s="1">
        <v>0</v>
      </c>
      <c r="L8" s="1">
        <v>0</v>
      </c>
      <c r="M8" s="1" t="s">
        <v>371</v>
      </c>
      <c r="N8" s="1" t="s">
        <v>372</v>
      </c>
      <c r="O8" s="1" t="s">
        <v>373</v>
      </c>
      <c r="P8" s="1" t="s">
        <v>374</v>
      </c>
      <c r="Q8" s="1" t="s">
        <v>48</v>
      </c>
      <c r="R8" s="1">
        <v>13</v>
      </c>
      <c r="S8" s="1">
        <v>2</v>
      </c>
      <c r="T8" s="1" t="s">
        <v>48</v>
      </c>
      <c r="U8" s="1" t="s">
        <v>48</v>
      </c>
      <c r="V8" s="1">
        <v>10</v>
      </c>
      <c r="W8" s="1" t="s">
        <v>260</v>
      </c>
      <c r="X8" s="1" t="s">
        <v>124</v>
      </c>
      <c r="Y8" s="1" t="s">
        <v>137</v>
      </c>
      <c r="Z8" s="1" t="s">
        <v>48</v>
      </c>
      <c r="AA8" s="1" t="s">
        <v>48</v>
      </c>
    </row>
    <row r="9" spans="1:27" s="1" customFormat="1" ht="18.5" x14ac:dyDescent="0.45">
      <c r="A9" s="1" t="s">
        <v>377</v>
      </c>
      <c r="B9" s="1" t="s">
        <v>378</v>
      </c>
      <c r="C9" s="1" t="s">
        <v>379</v>
      </c>
      <c r="D9" s="1" t="s">
        <v>53</v>
      </c>
      <c r="E9" s="2">
        <v>2023</v>
      </c>
      <c r="F9" s="1" t="s">
        <v>380</v>
      </c>
      <c r="G9" s="1" t="s">
        <v>58</v>
      </c>
      <c r="H9" s="1" t="s">
        <v>381</v>
      </c>
      <c r="I9" s="1">
        <v>58</v>
      </c>
      <c r="J9" s="1">
        <v>5</v>
      </c>
      <c r="K9" s="1">
        <v>6</v>
      </c>
      <c r="L9" s="1">
        <v>38</v>
      </c>
      <c r="M9" s="1" t="s">
        <v>215</v>
      </c>
      <c r="N9" s="1" t="s">
        <v>158</v>
      </c>
      <c r="O9" s="1" t="s">
        <v>216</v>
      </c>
      <c r="P9" s="1" t="s">
        <v>382</v>
      </c>
      <c r="Q9" s="1" t="s">
        <v>383</v>
      </c>
      <c r="R9" s="1">
        <v>175</v>
      </c>
      <c r="S9" s="1" t="s">
        <v>48</v>
      </c>
      <c r="T9" s="1" t="s">
        <v>387</v>
      </c>
      <c r="U9" s="1" t="str">
        <f>HYPERLINK("http://dx.doi.org/10.1016/j.cie.2022.108888","http://dx.doi.org/10.1016/j.cie.2022.108888")</f>
        <v>http://dx.doi.org/10.1016/j.cie.2022.108888</v>
      </c>
      <c r="V9" s="1">
        <v>23</v>
      </c>
      <c r="W9" s="1" t="s">
        <v>388</v>
      </c>
      <c r="X9" s="1" t="s">
        <v>67</v>
      </c>
      <c r="Y9" s="1" t="s">
        <v>389</v>
      </c>
      <c r="Z9" s="1" t="s">
        <v>48</v>
      </c>
      <c r="AA9" s="1" t="s">
        <v>48</v>
      </c>
    </row>
    <row r="10" spans="1:27" s="1" customFormat="1" ht="18.5" x14ac:dyDescent="0.45">
      <c r="A10" s="1" t="s">
        <v>325</v>
      </c>
      <c r="B10" s="1" t="s">
        <v>417</v>
      </c>
      <c r="C10" s="1" t="s">
        <v>418</v>
      </c>
      <c r="D10" s="1" t="s">
        <v>53</v>
      </c>
      <c r="E10" s="2">
        <v>2023</v>
      </c>
      <c r="F10" s="1" t="s">
        <v>419</v>
      </c>
      <c r="G10" s="1" t="s">
        <v>115</v>
      </c>
      <c r="H10" s="1" t="s">
        <v>420</v>
      </c>
      <c r="I10" s="1">
        <v>124</v>
      </c>
      <c r="J10" s="1">
        <v>10</v>
      </c>
      <c r="K10" s="1">
        <v>4</v>
      </c>
      <c r="L10" s="1">
        <v>29</v>
      </c>
      <c r="M10" s="1" t="s">
        <v>421</v>
      </c>
      <c r="N10" s="1" t="s">
        <v>422</v>
      </c>
      <c r="O10" s="1" t="s">
        <v>423</v>
      </c>
      <c r="P10" s="1" t="s">
        <v>424</v>
      </c>
      <c r="Q10" s="1" t="s">
        <v>48</v>
      </c>
      <c r="R10" s="1">
        <v>14</v>
      </c>
      <c r="S10" s="1" t="s">
        <v>48</v>
      </c>
      <c r="T10" s="1" t="s">
        <v>425</v>
      </c>
      <c r="U10" s="1" t="str">
        <f>HYPERLINK("http://dx.doi.org/10.3389/fpls.2023.1156323","http://dx.doi.org/10.3389/fpls.2023.1156323")</f>
        <v>http://dx.doi.org/10.3389/fpls.2023.1156323</v>
      </c>
      <c r="V10" s="1">
        <v>19</v>
      </c>
      <c r="W10" s="1" t="s">
        <v>426</v>
      </c>
      <c r="X10" s="1" t="s">
        <v>67</v>
      </c>
      <c r="Y10" s="1" t="s">
        <v>426</v>
      </c>
      <c r="Z10" s="1">
        <v>37265637</v>
      </c>
      <c r="AA10" s="1" t="s">
        <v>337</v>
      </c>
    </row>
    <row r="11" spans="1:27" s="1" customFormat="1" ht="18.5" x14ac:dyDescent="0.45">
      <c r="A11" s="1" t="s">
        <v>452</v>
      </c>
      <c r="B11" s="1" t="s">
        <v>453</v>
      </c>
      <c r="C11" s="1" t="s">
        <v>454</v>
      </c>
      <c r="D11" s="1" t="s">
        <v>53</v>
      </c>
      <c r="E11" s="2">
        <v>2023</v>
      </c>
      <c r="F11" s="1" t="s">
        <v>455</v>
      </c>
      <c r="G11" s="1" t="s">
        <v>58</v>
      </c>
      <c r="H11" s="1" t="s">
        <v>456</v>
      </c>
      <c r="I11" s="1">
        <v>51</v>
      </c>
      <c r="J11" s="1">
        <v>1</v>
      </c>
      <c r="K11" s="1">
        <v>0</v>
      </c>
      <c r="L11" s="1">
        <v>2</v>
      </c>
      <c r="M11" s="1" t="s">
        <v>132</v>
      </c>
      <c r="N11" s="1" t="s">
        <v>133</v>
      </c>
      <c r="O11" s="1" t="s">
        <v>134</v>
      </c>
      <c r="P11" s="1" t="s">
        <v>48</v>
      </c>
      <c r="Q11" s="1" t="s">
        <v>457</v>
      </c>
      <c r="R11" s="1">
        <v>12</v>
      </c>
      <c r="S11" s="1">
        <v>10</v>
      </c>
      <c r="T11" s="1" t="s">
        <v>459</v>
      </c>
      <c r="U11" s="1" t="str">
        <f>HYPERLINK("http://dx.doi.org/10.3390/socsci12100571","http://dx.doi.org/10.3390/socsci12100571")</f>
        <v>http://dx.doi.org/10.3390/socsci12100571</v>
      </c>
      <c r="V11" s="1">
        <v>17</v>
      </c>
      <c r="W11" s="1" t="s">
        <v>460</v>
      </c>
      <c r="X11" s="1" t="s">
        <v>124</v>
      </c>
      <c r="Y11" s="1" t="s">
        <v>461</v>
      </c>
      <c r="Z11" s="1" t="s">
        <v>48</v>
      </c>
      <c r="AA11" s="1" t="s">
        <v>125</v>
      </c>
    </row>
    <row r="12" spans="1:27" s="1" customFormat="1" ht="18.5" x14ac:dyDescent="0.45">
      <c r="A12" s="1" t="s">
        <v>511</v>
      </c>
      <c r="B12" s="1" t="s">
        <v>512</v>
      </c>
      <c r="C12" s="1" t="s">
        <v>513</v>
      </c>
      <c r="D12" s="1" t="s">
        <v>53</v>
      </c>
      <c r="E12" s="2">
        <v>2023</v>
      </c>
      <c r="F12" s="1" t="s">
        <v>514</v>
      </c>
      <c r="G12" s="1" t="s">
        <v>515</v>
      </c>
      <c r="H12" s="1" t="s">
        <v>516</v>
      </c>
      <c r="I12" s="1">
        <v>28</v>
      </c>
      <c r="J12" s="1">
        <v>0</v>
      </c>
      <c r="K12" s="1">
        <v>0</v>
      </c>
      <c r="L12" s="1">
        <v>1</v>
      </c>
      <c r="M12" s="1" t="s">
        <v>517</v>
      </c>
      <c r="N12" s="1" t="s">
        <v>239</v>
      </c>
      <c r="O12" s="1" t="s">
        <v>518</v>
      </c>
      <c r="P12" s="1" t="s">
        <v>519</v>
      </c>
      <c r="Q12" s="1" t="s">
        <v>520</v>
      </c>
      <c r="R12" s="1">
        <v>61</v>
      </c>
      <c r="S12" s="1">
        <v>10</v>
      </c>
      <c r="T12" s="1" t="s">
        <v>521</v>
      </c>
      <c r="U12" s="1" t="str">
        <f>HYPERLINK("http://dx.doi.org/10.56042/ijeb.v61i10.1653","http://dx.doi.org/10.56042/ijeb.v61i10.1653")</f>
        <v>http://dx.doi.org/10.56042/ijeb.v61i10.1653</v>
      </c>
      <c r="V12" s="1">
        <v>8</v>
      </c>
      <c r="W12" s="1" t="s">
        <v>522</v>
      </c>
      <c r="X12" s="1" t="s">
        <v>67</v>
      </c>
      <c r="Y12" s="1" t="s">
        <v>523</v>
      </c>
      <c r="Z12" s="1" t="s">
        <v>48</v>
      </c>
      <c r="AA12" s="1" t="s">
        <v>125</v>
      </c>
    </row>
    <row r="13" spans="1:27" s="1" customFormat="1" ht="18.5" x14ac:dyDescent="0.45">
      <c r="A13" s="1" t="s">
        <v>525</v>
      </c>
      <c r="B13" s="1" t="s">
        <v>526</v>
      </c>
      <c r="C13" s="1" t="s">
        <v>527</v>
      </c>
      <c r="D13" s="1" t="s">
        <v>53</v>
      </c>
      <c r="E13" s="2">
        <v>2023</v>
      </c>
      <c r="F13" s="1" t="s">
        <v>528</v>
      </c>
      <c r="G13" s="1" t="s">
        <v>58</v>
      </c>
      <c r="H13" s="1" t="s">
        <v>529</v>
      </c>
      <c r="I13" s="1">
        <v>73</v>
      </c>
      <c r="J13" s="1">
        <v>9</v>
      </c>
      <c r="K13" s="1">
        <v>0</v>
      </c>
      <c r="L13" s="1">
        <v>5</v>
      </c>
      <c r="M13" s="1" t="s">
        <v>530</v>
      </c>
      <c r="N13" s="1" t="s">
        <v>531</v>
      </c>
      <c r="O13" s="1" t="s">
        <v>532</v>
      </c>
      <c r="P13" s="1" t="s">
        <v>533</v>
      </c>
      <c r="Q13" s="1" t="s">
        <v>534</v>
      </c>
      <c r="R13" s="1">
        <v>15</v>
      </c>
      <c r="S13" s="1">
        <v>6</v>
      </c>
      <c r="T13" s="1" t="s">
        <v>535</v>
      </c>
      <c r="U13" s="1" t="str">
        <f>HYPERLINK("http://dx.doi.org/10.1108/JFEP-02-2023-0047","http://dx.doi.org/10.1108/JFEP-02-2023-0047")</f>
        <v>http://dx.doi.org/10.1108/JFEP-02-2023-0047</v>
      </c>
      <c r="V13" s="1">
        <v>23</v>
      </c>
      <c r="W13" s="1" t="s">
        <v>509</v>
      </c>
      <c r="X13" s="1" t="s">
        <v>124</v>
      </c>
      <c r="Y13" s="1" t="s">
        <v>510</v>
      </c>
      <c r="Z13" s="1" t="s">
        <v>48</v>
      </c>
      <c r="AA13" s="1" t="s">
        <v>48</v>
      </c>
    </row>
    <row r="14" spans="1:27" s="1" customFormat="1" ht="18.5" x14ac:dyDescent="0.45">
      <c r="A14" s="1" t="s">
        <v>536</v>
      </c>
      <c r="B14" s="1" t="s">
        <v>537</v>
      </c>
      <c r="C14" s="1" t="s">
        <v>538</v>
      </c>
      <c r="D14" s="1" t="s">
        <v>539</v>
      </c>
      <c r="E14" s="2">
        <v>2023</v>
      </c>
      <c r="F14" s="1" t="s">
        <v>540</v>
      </c>
      <c r="G14" s="1" t="s">
        <v>58</v>
      </c>
      <c r="H14" s="1" t="s">
        <v>541</v>
      </c>
      <c r="I14" s="1">
        <v>1</v>
      </c>
      <c r="J14" s="1">
        <v>0</v>
      </c>
      <c r="K14" s="1">
        <v>0</v>
      </c>
      <c r="L14" s="1">
        <v>1</v>
      </c>
      <c r="M14" s="1" t="s">
        <v>503</v>
      </c>
      <c r="N14" s="1" t="s">
        <v>542</v>
      </c>
      <c r="O14" s="1" t="s">
        <v>543</v>
      </c>
      <c r="P14" s="1" t="s">
        <v>544</v>
      </c>
      <c r="Q14" s="1" t="s">
        <v>545</v>
      </c>
      <c r="R14" s="1">
        <v>56</v>
      </c>
      <c r="S14" s="1">
        <v>12</v>
      </c>
      <c r="T14" s="1" t="s">
        <v>548</v>
      </c>
      <c r="U14" s="1" t="str">
        <f>HYPERLINK("http://dx.doi.org/10.1007/s10462-023-10495-3","http://dx.doi.org/10.1007/s10462-023-10495-3")</f>
        <v>http://dx.doi.org/10.1007/s10462-023-10495-3</v>
      </c>
      <c r="V14" s="1">
        <v>1</v>
      </c>
      <c r="W14" s="1" t="s">
        <v>549</v>
      </c>
      <c r="X14" s="1" t="s">
        <v>67</v>
      </c>
      <c r="Y14" s="1" t="s">
        <v>292</v>
      </c>
      <c r="Z14" s="1" t="s">
        <v>48</v>
      </c>
      <c r="AA14" s="1" t="s">
        <v>550</v>
      </c>
    </row>
    <row r="15" spans="1:27" s="1" customFormat="1" ht="18.5" x14ac:dyDescent="0.45">
      <c r="A15" s="1" t="s">
        <v>552</v>
      </c>
      <c r="B15" s="1" t="s">
        <v>553</v>
      </c>
      <c r="C15" s="1" t="s">
        <v>554</v>
      </c>
      <c r="D15" s="1" t="s">
        <v>53</v>
      </c>
      <c r="E15" s="2">
        <v>2023</v>
      </c>
      <c r="F15" s="1" t="s">
        <v>555</v>
      </c>
      <c r="G15" s="1" t="s">
        <v>58</v>
      </c>
      <c r="H15" s="1" t="s">
        <v>556</v>
      </c>
      <c r="I15" s="1">
        <v>99</v>
      </c>
      <c r="J15" s="1">
        <v>30</v>
      </c>
      <c r="K15" s="1">
        <v>3</v>
      </c>
      <c r="L15" s="1">
        <v>31</v>
      </c>
      <c r="M15" s="1" t="s">
        <v>530</v>
      </c>
      <c r="N15" s="1" t="s">
        <v>557</v>
      </c>
      <c r="O15" s="1" t="s">
        <v>558</v>
      </c>
      <c r="P15" s="1" t="s">
        <v>559</v>
      </c>
      <c r="Q15" s="1" t="s">
        <v>560</v>
      </c>
      <c r="R15" s="1">
        <v>19</v>
      </c>
      <c r="S15" s="1">
        <v>6</v>
      </c>
      <c r="T15" s="1" t="s">
        <v>561</v>
      </c>
      <c r="U15" s="1" t="str">
        <f>HYPERLINK("http://dx.doi.org/10.1108/SRJ-10-2020-0433","http://dx.doi.org/10.1108/SRJ-10-2020-0433")</f>
        <v>http://dx.doi.org/10.1108/SRJ-10-2020-0433</v>
      </c>
      <c r="V15" s="1">
        <v>20</v>
      </c>
      <c r="W15" s="1" t="s">
        <v>562</v>
      </c>
      <c r="X15" s="1" t="s">
        <v>124</v>
      </c>
      <c r="Y15" s="1" t="s">
        <v>510</v>
      </c>
      <c r="Z15" s="1" t="s">
        <v>48</v>
      </c>
      <c r="AA15" s="1" t="s">
        <v>48</v>
      </c>
    </row>
    <row r="16" spans="1:27" s="1" customFormat="1" ht="18.5" x14ac:dyDescent="0.45">
      <c r="A16" s="1" t="s">
        <v>391</v>
      </c>
      <c r="B16" s="1" t="s">
        <v>570</v>
      </c>
      <c r="C16" s="1" t="s">
        <v>571</v>
      </c>
      <c r="D16" s="1" t="s">
        <v>53</v>
      </c>
      <c r="E16" s="2">
        <v>2023</v>
      </c>
      <c r="F16" s="1" t="s">
        <v>394</v>
      </c>
      <c r="G16" s="1" t="s">
        <v>58</v>
      </c>
      <c r="H16" s="1" t="s">
        <v>227</v>
      </c>
      <c r="I16" s="1">
        <v>51</v>
      </c>
      <c r="J16" s="1">
        <v>11</v>
      </c>
      <c r="K16" s="1">
        <v>2</v>
      </c>
      <c r="L16" s="1">
        <v>10</v>
      </c>
      <c r="M16" s="1" t="s">
        <v>572</v>
      </c>
      <c r="N16" s="1" t="s">
        <v>573</v>
      </c>
      <c r="O16" s="1" t="s">
        <v>574</v>
      </c>
      <c r="P16" s="1" t="s">
        <v>575</v>
      </c>
      <c r="Q16" s="1" t="s">
        <v>576</v>
      </c>
      <c r="R16" s="1">
        <v>57</v>
      </c>
      <c r="S16" s="1">
        <v>1</v>
      </c>
      <c r="T16" s="1" t="s">
        <v>579</v>
      </c>
      <c r="U16" s="1" t="str">
        <f>HYPERLINK("http://dx.doi.org/10.1051/ro/2022211","http://dx.doi.org/10.1051/ro/2022211")</f>
        <v>http://dx.doi.org/10.1051/ro/2022211</v>
      </c>
      <c r="V16" s="1">
        <v>22</v>
      </c>
      <c r="W16" s="1" t="s">
        <v>580</v>
      </c>
      <c r="X16" s="1" t="s">
        <v>67</v>
      </c>
      <c r="Y16" s="1" t="s">
        <v>580</v>
      </c>
      <c r="Z16" s="1" t="s">
        <v>48</v>
      </c>
      <c r="AA16" s="1" t="s">
        <v>581</v>
      </c>
    </row>
    <row r="17" spans="1:27" s="1" customFormat="1" ht="18.5" x14ac:dyDescent="0.45">
      <c r="A17" s="1" t="s">
        <v>582</v>
      </c>
      <c r="B17" s="1" t="s">
        <v>583</v>
      </c>
      <c r="C17" s="1" t="s">
        <v>584</v>
      </c>
      <c r="D17" s="1" t="s">
        <v>585</v>
      </c>
      <c r="E17" s="2">
        <v>2023</v>
      </c>
      <c r="F17" s="1" t="s">
        <v>586</v>
      </c>
      <c r="G17" s="1" t="s">
        <v>58</v>
      </c>
      <c r="H17" s="1" t="s">
        <v>587</v>
      </c>
      <c r="I17" s="1">
        <v>34</v>
      </c>
      <c r="J17" s="1">
        <v>0</v>
      </c>
      <c r="K17" s="1">
        <v>0</v>
      </c>
      <c r="L17" s="1">
        <v>0</v>
      </c>
      <c r="M17" s="1" t="s">
        <v>588</v>
      </c>
      <c r="N17" s="1" t="s">
        <v>589</v>
      </c>
      <c r="O17" s="1" t="s">
        <v>590</v>
      </c>
      <c r="P17" s="1" t="s">
        <v>48</v>
      </c>
      <c r="Q17" s="1" t="s">
        <v>48</v>
      </c>
      <c r="R17" s="1" t="s">
        <v>48</v>
      </c>
      <c r="S17" s="1" t="s">
        <v>48</v>
      </c>
      <c r="T17" s="1" t="s">
        <v>48</v>
      </c>
      <c r="U17" s="1" t="s">
        <v>48</v>
      </c>
      <c r="V17" s="1">
        <v>14</v>
      </c>
      <c r="W17" s="1" t="s">
        <v>591</v>
      </c>
      <c r="X17" s="1" t="s">
        <v>592</v>
      </c>
      <c r="Y17" s="1" t="s">
        <v>593</v>
      </c>
      <c r="Z17" s="1" t="s">
        <v>48</v>
      </c>
      <c r="AA17" s="1" t="s">
        <v>48</v>
      </c>
    </row>
    <row r="18" spans="1:27" s="1" customFormat="1" ht="18.5" x14ac:dyDescent="0.45">
      <c r="A18" s="1" t="s">
        <v>594</v>
      </c>
      <c r="B18" s="1" t="s">
        <v>595</v>
      </c>
      <c r="C18" s="1" t="s">
        <v>308</v>
      </c>
      <c r="D18" s="1" t="s">
        <v>53</v>
      </c>
      <c r="E18" s="2">
        <v>2023</v>
      </c>
      <c r="F18" s="1" t="s">
        <v>596</v>
      </c>
      <c r="G18" s="1" t="s">
        <v>58</v>
      </c>
      <c r="H18" s="1" t="s">
        <v>597</v>
      </c>
      <c r="I18" s="1">
        <v>39</v>
      </c>
      <c r="J18" s="1">
        <v>8</v>
      </c>
      <c r="K18" s="1">
        <v>4</v>
      </c>
      <c r="L18" s="1">
        <v>23</v>
      </c>
      <c r="M18" s="1" t="s">
        <v>313</v>
      </c>
      <c r="N18" s="1" t="s">
        <v>314</v>
      </c>
      <c r="O18" s="1" t="s">
        <v>315</v>
      </c>
      <c r="P18" s="1" t="s">
        <v>316</v>
      </c>
      <c r="Q18" s="1" t="s">
        <v>317</v>
      </c>
      <c r="R18" s="1">
        <v>19</v>
      </c>
      <c r="S18" s="1">
        <v>8</v>
      </c>
      <c r="T18" s="1" t="s">
        <v>599</v>
      </c>
      <c r="U18" s="1" t="str">
        <f>HYPERLINK("http://dx.doi.org/10.3934/jimo.2022182","http://dx.doi.org/10.3934/jimo.2022182")</f>
        <v>http://dx.doi.org/10.3934/jimo.2022182</v>
      </c>
      <c r="V18" s="1">
        <v>29</v>
      </c>
      <c r="W18" s="1" t="s">
        <v>322</v>
      </c>
      <c r="X18" s="1" t="s">
        <v>67</v>
      </c>
      <c r="Y18" s="1" t="s">
        <v>323</v>
      </c>
      <c r="Z18" s="1" t="s">
        <v>48</v>
      </c>
      <c r="AA18" s="1" t="s">
        <v>125</v>
      </c>
    </row>
    <row r="19" spans="1:27" s="1" customFormat="1" ht="18.5" x14ac:dyDescent="0.45">
      <c r="A19" s="1" t="s">
        <v>651</v>
      </c>
      <c r="B19" s="1" t="s">
        <v>652</v>
      </c>
      <c r="C19" s="1" t="s">
        <v>653</v>
      </c>
      <c r="D19" s="1" t="s">
        <v>53</v>
      </c>
      <c r="E19" s="2">
        <v>2023</v>
      </c>
      <c r="F19" s="1" t="s">
        <v>654</v>
      </c>
      <c r="G19" s="1" t="s">
        <v>115</v>
      </c>
      <c r="H19" s="1" t="s">
        <v>655</v>
      </c>
      <c r="I19" s="1">
        <v>59</v>
      </c>
      <c r="J19" s="1">
        <v>7</v>
      </c>
      <c r="K19" s="1">
        <v>0</v>
      </c>
      <c r="L19" s="1">
        <v>2</v>
      </c>
      <c r="M19" s="1" t="s">
        <v>503</v>
      </c>
      <c r="N19" s="1" t="s">
        <v>542</v>
      </c>
      <c r="O19" s="1" t="s">
        <v>543</v>
      </c>
      <c r="P19" s="1" t="s">
        <v>656</v>
      </c>
      <c r="Q19" s="1" t="s">
        <v>657</v>
      </c>
      <c r="R19" s="1">
        <v>12</v>
      </c>
      <c r="S19" s="1">
        <v>2</v>
      </c>
      <c r="T19" s="1" t="s">
        <v>658</v>
      </c>
      <c r="U19" s="1" t="str">
        <f>HYPERLINK("http://dx.doi.org/10.1007/s13520-023-00175-4","http://dx.doi.org/10.1007/s13520-023-00175-4")</f>
        <v>http://dx.doi.org/10.1007/s13520-023-00175-4</v>
      </c>
      <c r="V19" s="1">
        <v>17</v>
      </c>
      <c r="W19" s="1" t="s">
        <v>659</v>
      </c>
      <c r="X19" s="1" t="s">
        <v>124</v>
      </c>
      <c r="Y19" s="1" t="s">
        <v>461</v>
      </c>
      <c r="Z19" s="1" t="s">
        <v>48</v>
      </c>
      <c r="AA19" s="1" t="s">
        <v>48</v>
      </c>
    </row>
    <row r="20" spans="1:27" s="1" customFormat="1" ht="18.5" x14ac:dyDescent="0.45">
      <c r="A20" s="1" t="s">
        <v>661</v>
      </c>
      <c r="B20" s="1" t="s">
        <v>662</v>
      </c>
      <c r="C20" s="1" t="s">
        <v>663</v>
      </c>
      <c r="D20" s="1" t="s">
        <v>53</v>
      </c>
      <c r="E20" s="2">
        <v>2023</v>
      </c>
      <c r="F20" s="1" t="s">
        <v>664</v>
      </c>
      <c r="G20" s="1" t="s">
        <v>58</v>
      </c>
      <c r="H20" s="1" t="s">
        <v>665</v>
      </c>
      <c r="I20" s="1">
        <v>72</v>
      </c>
      <c r="J20" s="1">
        <v>1</v>
      </c>
      <c r="K20" s="1">
        <v>1</v>
      </c>
      <c r="L20" s="1">
        <v>19</v>
      </c>
      <c r="M20" s="1" t="s">
        <v>79</v>
      </c>
      <c r="N20" s="1" t="s">
        <v>80</v>
      </c>
      <c r="O20" s="1" t="s">
        <v>81</v>
      </c>
      <c r="P20" s="1" t="s">
        <v>666</v>
      </c>
      <c r="Q20" s="1" t="s">
        <v>667</v>
      </c>
      <c r="R20" s="1">
        <v>462</v>
      </c>
      <c r="S20" s="1" t="s">
        <v>48</v>
      </c>
      <c r="T20" s="1" t="s">
        <v>668</v>
      </c>
      <c r="U20" s="1" t="str">
        <f>HYPERLINK("http://dx.doi.org/10.1016/j.physleta.2023.128653","http://dx.doi.org/10.1016/j.physleta.2023.128653")</f>
        <v>http://dx.doi.org/10.1016/j.physleta.2023.128653</v>
      </c>
      <c r="V20" s="1">
        <v>6</v>
      </c>
      <c r="W20" s="1" t="s">
        <v>669</v>
      </c>
      <c r="X20" s="1" t="s">
        <v>67</v>
      </c>
      <c r="Y20" s="1" t="s">
        <v>670</v>
      </c>
      <c r="Z20" s="1" t="s">
        <v>48</v>
      </c>
      <c r="AA20" s="1" t="s">
        <v>48</v>
      </c>
    </row>
    <row r="21" spans="1:27" s="1" customFormat="1" ht="18.5" x14ac:dyDescent="0.45">
      <c r="A21" s="1" t="s">
        <v>441</v>
      </c>
      <c r="B21" s="1" t="s">
        <v>671</v>
      </c>
      <c r="C21" s="1" t="s">
        <v>443</v>
      </c>
      <c r="D21" s="1" t="s">
        <v>672</v>
      </c>
      <c r="E21" s="2">
        <v>2023</v>
      </c>
      <c r="F21" s="1" t="s">
        <v>446</v>
      </c>
      <c r="G21" s="1" t="s">
        <v>58</v>
      </c>
      <c r="H21" s="1" t="s">
        <v>447</v>
      </c>
      <c r="I21" s="1">
        <v>8</v>
      </c>
      <c r="J21" s="1">
        <v>1</v>
      </c>
      <c r="K21" s="1">
        <v>0</v>
      </c>
      <c r="L21" s="1">
        <v>0</v>
      </c>
      <c r="M21" s="1" t="s">
        <v>448</v>
      </c>
      <c r="N21" s="1" t="s">
        <v>449</v>
      </c>
      <c r="O21" s="1" t="s">
        <v>450</v>
      </c>
      <c r="P21" s="1" t="s">
        <v>451</v>
      </c>
      <c r="Q21" s="1" t="s">
        <v>48</v>
      </c>
      <c r="R21" s="1">
        <v>124</v>
      </c>
      <c r="S21" s="1">
        <v>2</v>
      </c>
      <c r="T21" s="1" t="s">
        <v>48</v>
      </c>
      <c r="U21" s="1" t="s">
        <v>48</v>
      </c>
      <c r="V21" s="1">
        <v>1</v>
      </c>
      <c r="W21" s="1" t="s">
        <v>335</v>
      </c>
      <c r="X21" s="1" t="s">
        <v>67</v>
      </c>
      <c r="Y21" s="1" t="s">
        <v>336</v>
      </c>
      <c r="Z21" s="1" t="s">
        <v>48</v>
      </c>
      <c r="AA21" s="1" t="s">
        <v>48</v>
      </c>
    </row>
    <row r="22" spans="1:27" s="1" customFormat="1" ht="18.5" x14ac:dyDescent="0.45">
      <c r="A22" s="1" t="s">
        <v>674</v>
      </c>
      <c r="B22" s="1" t="s">
        <v>675</v>
      </c>
      <c r="C22" s="1" t="s">
        <v>676</v>
      </c>
      <c r="D22" s="1" t="s">
        <v>53</v>
      </c>
      <c r="E22" s="2">
        <v>2023</v>
      </c>
      <c r="F22" s="1" t="s">
        <v>677</v>
      </c>
      <c r="G22" s="1" t="s">
        <v>58</v>
      </c>
      <c r="H22" s="1" t="s">
        <v>227</v>
      </c>
      <c r="I22" s="1">
        <v>60</v>
      </c>
      <c r="J22" s="1">
        <v>20</v>
      </c>
      <c r="K22" s="1">
        <v>6</v>
      </c>
      <c r="L22" s="1">
        <v>31</v>
      </c>
      <c r="M22" s="1" t="s">
        <v>503</v>
      </c>
      <c r="N22" s="1" t="s">
        <v>542</v>
      </c>
      <c r="O22" s="1" t="s">
        <v>543</v>
      </c>
      <c r="P22" s="1" t="s">
        <v>678</v>
      </c>
      <c r="Q22" s="1" t="s">
        <v>679</v>
      </c>
      <c r="R22" s="1">
        <v>53</v>
      </c>
      <c r="S22" s="1">
        <v>1</v>
      </c>
      <c r="T22" s="1" t="s">
        <v>680</v>
      </c>
      <c r="U22" s="1" t="str">
        <f>HYPERLINK("http://dx.doi.org/10.1007/s10489-022-03442-2","http://dx.doi.org/10.1007/s10489-022-03442-2")</f>
        <v>http://dx.doi.org/10.1007/s10489-022-03442-2</v>
      </c>
      <c r="V22" s="1">
        <v>22</v>
      </c>
      <c r="W22" s="1" t="s">
        <v>549</v>
      </c>
      <c r="X22" s="1" t="s">
        <v>67</v>
      </c>
      <c r="Y22" s="1" t="s">
        <v>292</v>
      </c>
      <c r="Z22" s="1" t="s">
        <v>48</v>
      </c>
      <c r="AA22" s="1" t="s">
        <v>48</v>
      </c>
    </row>
    <row r="23" spans="1:27" s="1" customFormat="1" ht="18.5" x14ac:dyDescent="0.45">
      <c r="A23" s="1" t="s">
        <v>724</v>
      </c>
      <c r="B23" s="1" t="s">
        <v>725</v>
      </c>
      <c r="C23" s="1" t="s">
        <v>726</v>
      </c>
      <c r="D23" s="1" t="s">
        <v>53</v>
      </c>
      <c r="E23" s="2">
        <v>2023</v>
      </c>
      <c r="F23" s="1" t="s">
        <v>727</v>
      </c>
      <c r="G23" s="1" t="s">
        <v>58</v>
      </c>
      <c r="H23" s="1" t="s">
        <v>728</v>
      </c>
      <c r="I23" s="1">
        <v>43</v>
      </c>
      <c r="J23" s="1">
        <v>0</v>
      </c>
      <c r="K23" s="1">
        <v>0</v>
      </c>
      <c r="L23" s="1">
        <v>1</v>
      </c>
      <c r="M23" s="1" t="s">
        <v>98</v>
      </c>
      <c r="N23" s="1" t="s">
        <v>99</v>
      </c>
      <c r="O23" s="1" t="s">
        <v>100</v>
      </c>
      <c r="P23" s="1" t="s">
        <v>729</v>
      </c>
      <c r="Q23" s="1" t="s">
        <v>730</v>
      </c>
      <c r="R23" s="1">
        <v>11</v>
      </c>
      <c r="S23" s="1">
        <v>2</v>
      </c>
      <c r="T23" s="1" t="s">
        <v>731</v>
      </c>
      <c r="U23" s="1" t="str">
        <f>HYPERLINK("http://dx.doi.org/10.1177/23210230231203769","http://dx.doi.org/10.1177/23210230231203769")</f>
        <v>http://dx.doi.org/10.1177/23210230231203769</v>
      </c>
      <c r="V23" s="1">
        <v>12</v>
      </c>
      <c r="W23" s="1" t="s">
        <v>732</v>
      </c>
      <c r="X23" s="1" t="s">
        <v>124</v>
      </c>
      <c r="Y23" s="1" t="s">
        <v>733</v>
      </c>
      <c r="Z23" s="1" t="s">
        <v>48</v>
      </c>
      <c r="AA23" s="1" t="s">
        <v>48</v>
      </c>
    </row>
    <row r="24" spans="1:27" s="1" customFormat="1" ht="18.5" x14ac:dyDescent="0.45">
      <c r="A24" s="1" t="s">
        <v>734</v>
      </c>
      <c r="B24" s="1" t="s">
        <v>735</v>
      </c>
      <c r="C24" s="1" t="s">
        <v>736</v>
      </c>
      <c r="D24" s="1" t="s">
        <v>53</v>
      </c>
      <c r="E24" s="2">
        <v>2023</v>
      </c>
      <c r="F24" s="1" t="s">
        <v>737</v>
      </c>
      <c r="G24" s="1" t="s">
        <v>58</v>
      </c>
      <c r="H24" s="1" t="s">
        <v>738</v>
      </c>
      <c r="I24" s="1">
        <v>15</v>
      </c>
      <c r="J24" s="1">
        <v>2</v>
      </c>
      <c r="K24" s="1">
        <v>0</v>
      </c>
      <c r="L24" s="1">
        <v>0</v>
      </c>
      <c r="M24" s="1" t="s">
        <v>739</v>
      </c>
      <c r="N24" s="1" t="s">
        <v>740</v>
      </c>
      <c r="O24" s="1" t="s">
        <v>741</v>
      </c>
      <c r="P24" s="1" t="s">
        <v>742</v>
      </c>
      <c r="Q24" s="1" t="s">
        <v>48</v>
      </c>
      <c r="R24" s="1">
        <v>47</v>
      </c>
      <c r="S24" s="1">
        <v>4</v>
      </c>
      <c r="T24" s="1" t="s">
        <v>743</v>
      </c>
      <c r="U24" s="1" t="str">
        <f>HYPERLINK("http://dx.doi.org/10.46793/KgJMat2304.577D","http://dx.doi.org/10.46793/KgJMat2304.577D")</f>
        <v>http://dx.doi.org/10.46793/KgJMat2304.577D</v>
      </c>
      <c r="V24" s="1">
        <v>21</v>
      </c>
      <c r="W24" s="1" t="s">
        <v>137</v>
      </c>
      <c r="X24" s="1" t="s">
        <v>124</v>
      </c>
      <c r="Y24" s="1" t="s">
        <v>137</v>
      </c>
      <c r="Z24" s="1" t="s">
        <v>48</v>
      </c>
      <c r="AA24" s="1" t="s">
        <v>125</v>
      </c>
    </row>
    <row r="25" spans="1:27" s="1" customFormat="1" ht="18.5" x14ac:dyDescent="0.45">
      <c r="A25" s="1" t="s">
        <v>744</v>
      </c>
      <c r="B25" s="1" t="s">
        <v>745</v>
      </c>
      <c r="C25" s="1" t="s">
        <v>746</v>
      </c>
      <c r="D25" s="1" t="s">
        <v>53</v>
      </c>
      <c r="E25" s="2">
        <v>2023</v>
      </c>
      <c r="F25" s="1" t="s">
        <v>747</v>
      </c>
      <c r="G25" s="1" t="s">
        <v>58</v>
      </c>
      <c r="H25" s="1" t="s">
        <v>665</v>
      </c>
      <c r="I25" s="1">
        <v>68</v>
      </c>
      <c r="J25" s="1">
        <v>0</v>
      </c>
      <c r="K25" s="1">
        <v>6</v>
      </c>
      <c r="L25" s="1">
        <v>23</v>
      </c>
      <c r="M25" s="1" t="s">
        <v>748</v>
      </c>
      <c r="N25" s="1" t="s">
        <v>749</v>
      </c>
      <c r="O25" s="1" t="s">
        <v>750</v>
      </c>
      <c r="P25" s="1" t="s">
        <v>751</v>
      </c>
      <c r="Q25" s="1" t="s">
        <v>752</v>
      </c>
      <c r="R25" s="1">
        <v>32</v>
      </c>
      <c r="S25" s="1">
        <v>2</v>
      </c>
      <c r="T25" s="1" t="s">
        <v>753</v>
      </c>
      <c r="U25" s="1" t="str">
        <f>HYPERLINK("http://dx.doi.org/10.1142/S0218863523500170","http://dx.doi.org/10.1142/S0218863523500170")</f>
        <v>http://dx.doi.org/10.1142/S0218863523500170</v>
      </c>
      <c r="V25" s="1">
        <v>13</v>
      </c>
      <c r="W25" s="1" t="s">
        <v>754</v>
      </c>
      <c r="X25" s="1" t="s">
        <v>67</v>
      </c>
      <c r="Y25" s="1" t="s">
        <v>755</v>
      </c>
      <c r="Z25" s="1" t="s">
        <v>48</v>
      </c>
      <c r="AA25" s="1" t="s">
        <v>48</v>
      </c>
    </row>
    <row r="26" spans="1:27" s="1" customFormat="1" ht="18.5" x14ac:dyDescent="0.45">
      <c r="A26" s="1" t="s">
        <v>798</v>
      </c>
      <c r="B26" s="1" t="s">
        <v>799</v>
      </c>
      <c r="C26" s="1" t="s">
        <v>800</v>
      </c>
      <c r="D26" s="1" t="s">
        <v>53</v>
      </c>
      <c r="E26" s="2">
        <v>2023</v>
      </c>
      <c r="F26" s="1" t="s">
        <v>801</v>
      </c>
      <c r="G26" s="1" t="s">
        <v>58</v>
      </c>
      <c r="H26" s="1" t="s">
        <v>802</v>
      </c>
      <c r="I26" s="1">
        <v>49</v>
      </c>
      <c r="J26" s="1">
        <v>2</v>
      </c>
      <c r="K26" s="1">
        <v>1</v>
      </c>
      <c r="L26" s="1">
        <v>7</v>
      </c>
      <c r="M26" s="1" t="s">
        <v>803</v>
      </c>
      <c r="N26" s="1" t="s">
        <v>239</v>
      </c>
      <c r="O26" s="1" t="s">
        <v>804</v>
      </c>
      <c r="P26" s="1" t="s">
        <v>805</v>
      </c>
      <c r="Q26" s="1" t="s">
        <v>806</v>
      </c>
      <c r="R26" s="1">
        <v>60</v>
      </c>
      <c r="S26" s="1">
        <v>4</v>
      </c>
      <c r="T26" s="1" t="s">
        <v>808</v>
      </c>
      <c r="U26" s="1" t="str">
        <f>HYPERLINK("http://dx.doi.org/10.1007/s12597-023-00668-7","http://dx.doi.org/10.1007/s12597-023-00668-7")</f>
        <v>http://dx.doi.org/10.1007/s12597-023-00668-7</v>
      </c>
      <c r="V26" s="1">
        <v>44</v>
      </c>
      <c r="W26" s="1" t="s">
        <v>580</v>
      </c>
      <c r="X26" s="1" t="s">
        <v>124</v>
      </c>
      <c r="Y26" s="1" t="s">
        <v>580</v>
      </c>
      <c r="Z26" s="1" t="s">
        <v>48</v>
      </c>
      <c r="AA26" s="1" t="s">
        <v>48</v>
      </c>
    </row>
    <row r="27" spans="1:27" s="1" customFormat="1" ht="18.5" x14ac:dyDescent="0.45">
      <c r="A27" s="1" t="s">
        <v>809</v>
      </c>
      <c r="B27" s="1" t="s">
        <v>810</v>
      </c>
      <c r="C27" s="1" t="s">
        <v>811</v>
      </c>
      <c r="D27" s="1" t="s">
        <v>53</v>
      </c>
      <c r="E27" s="2">
        <v>2023</v>
      </c>
      <c r="F27" s="1" t="s">
        <v>812</v>
      </c>
      <c r="G27" s="1" t="s">
        <v>58</v>
      </c>
      <c r="H27" s="1" t="s">
        <v>813</v>
      </c>
      <c r="I27" s="1">
        <v>46</v>
      </c>
      <c r="J27" s="1">
        <v>0</v>
      </c>
      <c r="K27" s="1">
        <v>0</v>
      </c>
      <c r="L27" s="1">
        <v>1</v>
      </c>
      <c r="M27" s="1" t="s">
        <v>252</v>
      </c>
      <c r="N27" s="1" t="s">
        <v>253</v>
      </c>
      <c r="O27" s="1" t="s">
        <v>254</v>
      </c>
      <c r="P27" s="1" t="s">
        <v>814</v>
      </c>
      <c r="Q27" s="1" t="s">
        <v>815</v>
      </c>
      <c r="R27" s="1">
        <v>30</v>
      </c>
      <c r="S27" s="1">
        <v>11</v>
      </c>
      <c r="T27" s="1" t="s">
        <v>816</v>
      </c>
      <c r="U27" s="1" t="str">
        <f>HYPERLINK("http://dx.doi.org/10.1007/s43032-023-01279-9","http://dx.doi.org/10.1007/s43032-023-01279-9")</f>
        <v>http://dx.doi.org/10.1007/s43032-023-01279-9</v>
      </c>
      <c r="V27" s="1">
        <v>13</v>
      </c>
      <c r="W27" s="1" t="s">
        <v>817</v>
      </c>
      <c r="X27" s="1" t="s">
        <v>67</v>
      </c>
      <c r="Y27" s="1" t="s">
        <v>817</v>
      </c>
      <c r="Z27" s="1">
        <v>37286756</v>
      </c>
      <c r="AA27" s="1" t="s">
        <v>48</v>
      </c>
    </row>
    <row r="28" spans="1:27" s="1" customFormat="1" ht="18.5" x14ac:dyDescent="0.45">
      <c r="A28" s="1" t="s">
        <v>866</v>
      </c>
      <c r="B28" s="1" t="s">
        <v>867</v>
      </c>
      <c r="C28" s="1" t="s">
        <v>868</v>
      </c>
      <c r="D28" s="1" t="s">
        <v>111</v>
      </c>
      <c r="E28" s="2">
        <v>2023</v>
      </c>
      <c r="F28" s="1" t="s">
        <v>869</v>
      </c>
      <c r="G28" s="1" t="s">
        <v>58</v>
      </c>
      <c r="H28" s="1" t="s">
        <v>870</v>
      </c>
      <c r="I28" s="1">
        <v>42</v>
      </c>
      <c r="J28" s="1">
        <v>1</v>
      </c>
      <c r="K28" s="1">
        <v>0</v>
      </c>
      <c r="L28" s="1">
        <v>1</v>
      </c>
      <c r="M28" s="1" t="s">
        <v>98</v>
      </c>
      <c r="N28" s="1" t="s">
        <v>99</v>
      </c>
      <c r="O28" s="1" t="s">
        <v>100</v>
      </c>
      <c r="P28" s="1" t="s">
        <v>871</v>
      </c>
      <c r="Q28" s="1" t="s">
        <v>872</v>
      </c>
      <c r="R28" s="1" t="s">
        <v>48</v>
      </c>
      <c r="S28" s="1" t="s">
        <v>48</v>
      </c>
      <c r="T28" s="1" t="s">
        <v>873</v>
      </c>
      <c r="U28" s="1" t="str">
        <f>HYPERLINK("http://dx.doi.org/10.1177/00219096231176748","http://dx.doi.org/10.1177/00219096231176748")</f>
        <v>http://dx.doi.org/10.1177/00219096231176748</v>
      </c>
      <c r="V28" s="1">
        <v>16</v>
      </c>
      <c r="W28" s="1" t="s">
        <v>874</v>
      </c>
      <c r="X28" s="1" t="s">
        <v>106</v>
      </c>
      <c r="Y28" s="1" t="s">
        <v>874</v>
      </c>
      <c r="Z28" s="1" t="s">
        <v>48</v>
      </c>
      <c r="AA28" s="1" t="s">
        <v>48</v>
      </c>
    </row>
    <row r="29" spans="1:27" s="1" customFormat="1" ht="18.5" x14ac:dyDescent="0.45">
      <c r="A29" s="1" t="s">
        <v>140</v>
      </c>
      <c r="B29" s="1" t="s">
        <v>884</v>
      </c>
      <c r="C29" s="1" t="s">
        <v>885</v>
      </c>
      <c r="D29" s="1" t="s">
        <v>94</v>
      </c>
      <c r="E29" s="2">
        <v>2023</v>
      </c>
      <c r="F29" s="1" t="s">
        <v>886</v>
      </c>
      <c r="G29" s="1" t="s">
        <v>58</v>
      </c>
      <c r="H29" s="1" t="s">
        <v>887</v>
      </c>
      <c r="I29" s="1">
        <v>1</v>
      </c>
      <c r="J29" s="1">
        <v>0</v>
      </c>
      <c r="K29" s="1">
        <v>0</v>
      </c>
      <c r="L29" s="1">
        <v>0</v>
      </c>
      <c r="M29" s="1" t="s">
        <v>198</v>
      </c>
      <c r="N29" s="1" t="s">
        <v>146</v>
      </c>
      <c r="O29" s="1" t="s">
        <v>199</v>
      </c>
      <c r="P29" s="1" t="s">
        <v>888</v>
      </c>
      <c r="Q29" s="1" t="s">
        <v>889</v>
      </c>
      <c r="R29" s="1">
        <v>29</v>
      </c>
      <c r="S29" s="1">
        <v>1</v>
      </c>
      <c r="T29" s="1" t="s">
        <v>891</v>
      </c>
      <c r="U29" s="1" t="str">
        <f>HYPERLINK("http://dx.doi.org/10.1080/12259276.2022.2164416","http://dx.doi.org/10.1080/12259276.2022.2164416")</f>
        <v>http://dx.doi.org/10.1080/12259276.2022.2164416</v>
      </c>
      <c r="V29" s="1">
        <v>4</v>
      </c>
      <c r="W29" s="1" t="s">
        <v>892</v>
      </c>
      <c r="X29" s="1" t="s">
        <v>106</v>
      </c>
      <c r="Y29" s="1" t="s">
        <v>892</v>
      </c>
      <c r="Z29" s="1" t="s">
        <v>48</v>
      </c>
      <c r="AA29" s="1" t="s">
        <v>48</v>
      </c>
    </row>
    <row r="30" spans="1:27" s="1" customFormat="1" ht="18.5" x14ac:dyDescent="0.45">
      <c r="A30" s="1" t="s">
        <v>894</v>
      </c>
      <c r="B30" s="1" t="s">
        <v>895</v>
      </c>
      <c r="C30" s="1" t="s">
        <v>896</v>
      </c>
      <c r="D30" s="1" t="s">
        <v>53</v>
      </c>
      <c r="E30" s="2">
        <v>2023</v>
      </c>
      <c r="F30" s="1" t="s">
        <v>897</v>
      </c>
      <c r="G30" s="1" t="s">
        <v>58</v>
      </c>
      <c r="H30" s="1" t="s">
        <v>898</v>
      </c>
      <c r="I30" s="1">
        <v>59</v>
      </c>
      <c r="J30" s="1">
        <v>17</v>
      </c>
      <c r="K30" s="1">
        <v>3</v>
      </c>
      <c r="L30" s="1">
        <v>10</v>
      </c>
      <c r="M30" s="1" t="s">
        <v>60</v>
      </c>
      <c r="N30" s="1" t="s">
        <v>61</v>
      </c>
      <c r="O30" s="1" t="s">
        <v>62</v>
      </c>
      <c r="P30" s="1" t="s">
        <v>899</v>
      </c>
      <c r="Q30" s="1" t="s">
        <v>900</v>
      </c>
      <c r="R30" s="1">
        <v>150</v>
      </c>
      <c r="S30" s="1" t="s">
        <v>48</v>
      </c>
      <c r="T30" s="1" t="s">
        <v>901</v>
      </c>
      <c r="U30" s="1" t="str">
        <f>HYPERLINK("http://dx.doi.org/10.1016/j.apgeog.2022.102842","http://dx.doi.org/10.1016/j.apgeog.2022.102842")</f>
        <v>http://dx.doi.org/10.1016/j.apgeog.2022.102842</v>
      </c>
      <c r="V30" s="1">
        <v>14</v>
      </c>
      <c r="W30" s="1" t="s">
        <v>493</v>
      </c>
      <c r="X30" s="1" t="s">
        <v>106</v>
      </c>
      <c r="Y30" s="1" t="s">
        <v>493</v>
      </c>
      <c r="Z30" s="1" t="s">
        <v>48</v>
      </c>
      <c r="AA30" s="1" t="s">
        <v>48</v>
      </c>
    </row>
    <row r="31" spans="1:27" s="1" customFormat="1" ht="18.5" x14ac:dyDescent="0.45">
      <c r="A31" s="1" t="s">
        <v>927</v>
      </c>
      <c r="B31" s="1" t="s">
        <v>928</v>
      </c>
      <c r="C31" s="1" t="s">
        <v>711</v>
      </c>
      <c r="D31" s="1" t="s">
        <v>111</v>
      </c>
      <c r="E31" s="2">
        <v>2023</v>
      </c>
      <c r="F31" s="1" t="s">
        <v>929</v>
      </c>
      <c r="G31" s="1" t="s">
        <v>58</v>
      </c>
      <c r="H31" s="1" t="s">
        <v>930</v>
      </c>
      <c r="I31" s="1">
        <v>61</v>
      </c>
      <c r="J31" s="1">
        <v>2</v>
      </c>
      <c r="K31" s="1">
        <v>6</v>
      </c>
      <c r="L31" s="1">
        <v>12</v>
      </c>
      <c r="M31" s="1" t="s">
        <v>503</v>
      </c>
      <c r="N31" s="1" t="s">
        <v>542</v>
      </c>
      <c r="O31" s="1" t="s">
        <v>543</v>
      </c>
      <c r="P31" s="1" t="s">
        <v>717</v>
      </c>
      <c r="Q31" s="1" t="s">
        <v>718</v>
      </c>
      <c r="R31" s="1" t="s">
        <v>48</v>
      </c>
      <c r="S31" s="1" t="s">
        <v>48</v>
      </c>
      <c r="T31" s="1" t="s">
        <v>931</v>
      </c>
      <c r="U31" s="1" t="str">
        <f>HYPERLINK("http://dx.doi.org/10.1007/s10668-023-03966-8","http://dx.doi.org/10.1007/s10668-023-03966-8")</f>
        <v>http://dx.doi.org/10.1007/s10668-023-03966-8</v>
      </c>
      <c r="V31" s="1">
        <v>31</v>
      </c>
      <c r="W31" s="1" t="s">
        <v>722</v>
      </c>
      <c r="X31" s="1" t="s">
        <v>67</v>
      </c>
      <c r="Y31" s="1" t="s">
        <v>723</v>
      </c>
      <c r="Z31" s="1" t="s">
        <v>48</v>
      </c>
      <c r="AA31" s="1" t="s">
        <v>48</v>
      </c>
    </row>
    <row r="32" spans="1:27" s="1" customFormat="1" ht="18.5" x14ac:dyDescent="0.45">
      <c r="A32" s="1" t="s">
        <v>932</v>
      </c>
      <c r="B32" s="1" t="s">
        <v>933</v>
      </c>
      <c r="C32" s="1" t="s">
        <v>934</v>
      </c>
      <c r="D32" s="1" t="s">
        <v>53</v>
      </c>
      <c r="E32" s="2">
        <v>2023</v>
      </c>
      <c r="F32" s="1" t="s">
        <v>935</v>
      </c>
      <c r="G32" s="1" t="s">
        <v>58</v>
      </c>
      <c r="H32" s="1" t="s">
        <v>936</v>
      </c>
      <c r="I32" s="1">
        <v>9</v>
      </c>
      <c r="J32" s="1">
        <v>0</v>
      </c>
      <c r="K32" s="1">
        <v>0</v>
      </c>
      <c r="L32" s="1">
        <v>0</v>
      </c>
      <c r="M32" s="1" t="s">
        <v>937</v>
      </c>
      <c r="N32" s="1" t="s">
        <v>938</v>
      </c>
      <c r="O32" s="1" t="s">
        <v>939</v>
      </c>
      <c r="P32" s="1" t="s">
        <v>940</v>
      </c>
      <c r="Q32" s="1" t="s">
        <v>941</v>
      </c>
      <c r="R32" s="1">
        <v>67</v>
      </c>
      <c r="S32" s="1">
        <v>4</v>
      </c>
      <c r="T32" s="1" t="s">
        <v>942</v>
      </c>
      <c r="U32" s="1" t="str">
        <f>HYPERLINK("http://dx.doi.org/10.4103/ijph.ijph_1497_22","http://dx.doi.org/10.4103/ijph.ijph_1497_22")</f>
        <v>http://dx.doi.org/10.4103/ijph.ijph_1497_22</v>
      </c>
      <c r="V32" s="1">
        <v>4</v>
      </c>
      <c r="W32" s="1" t="s">
        <v>943</v>
      </c>
      <c r="X32" s="1" t="s">
        <v>944</v>
      </c>
      <c r="Y32" s="1" t="s">
        <v>943</v>
      </c>
      <c r="Z32" s="1">
        <v>38934810</v>
      </c>
      <c r="AA32" s="1" t="s">
        <v>125</v>
      </c>
    </row>
    <row r="33" spans="1:27" s="1" customFormat="1" ht="18.5" x14ac:dyDescent="0.45">
      <c r="A33" s="1" t="s">
        <v>946</v>
      </c>
      <c r="B33" s="1" t="s">
        <v>947</v>
      </c>
      <c r="C33" s="1" t="s">
        <v>948</v>
      </c>
      <c r="D33" s="1" t="s">
        <v>94</v>
      </c>
      <c r="E33" s="2">
        <v>2023</v>
      </c>
      <c r="F33" s="1" t="s">
        <v>949</v>
      </c>
      <c r="G33" s="1" t="s">
        <v>58</v>
      </c>
      <c r="H33" s="1" t="s">
        <v>950</v>
      </c>
      <c r="I33" s="1">
        <v>1</v>
      </c>
      <c r="J33" s="1">
        <v>0</v>
      </c>
      <c r="K33" s="1">
        <v>0</v>
      </c>
      <c r="L33" s="1">
        <v>0</v>
      </c>
      <c r="M33" s="1" t="s">
        <v>145</v>
      </c>
      <c r="N33" s="1" t="s">
        <v>146</v>
      </c>
      <c r="O33" s="1" t="s">
        <v>147</v>
      </c>
      <c r="P33" s="1" t="s">
        <v>951</v>
      </c>
      <c r="Q33" s="1" t="s">
        <v>952</v>
      </c>
      <c r="R33" s="1">
        <v>30</v>
      </c>
      <c r="S33" s="1">
        <v>8</v>
      </c>
      <c r="T33" s="1" t="s">
        <v>953</v>
      </c>
      <c r="U33" s="1" t="str">
        <f>HYPERLINK("http://dx.doi.org/10.1080/13510347.2023.2243227","http://dx.doi.org/10.1080/13510347.2023.2243227")</f>
        <v>http://dx.doi.org/10.1080/13510347.2023.2243227</v>
      </c>
      <c r="V33" s="1">
        <v>2</v>
      </c>
      <c r="W33" s="1" t="s">
        <v>732</v>
      </c>
      <c r="X33" s="1" t="s">
        <v>106</v>
      </c>
      <c r="Y33" s="1" t="s">
        <v>733</v>
      </c>
      <c r="Z33" s="1" t="s">
        <v>48</v>
      </c>
      <c r="AA33" s="1" t="s">
        <v>48</v>
      </c>
    </row>
    <row r="34" spans="1:27" s="1" customFormat="1" ht="18.5" x14ac:dyDescent="0.45">
      <c r="A34" s="1" t="s">
        <v>600</v>
      </c>
      <c r="B34" s="1" t="s">
        <v>954</v>
      </c>
      <c r="C34" s="1" t="s">
        <v>955</v>
      </c>
      <c r="D34" s="1" t="s">
        <v>94</v>
      </c>
      <c r="E34" s="2">
        <v>2023</v>
      </c>
      <c r="F34" s="1" t="s">
        <v>956</v>
      </c>
      <c r="G34" s="1" t="s">
        <v>58</v>
      </c>
      <c r="H34" s="1" t="s">
        <v>957</v>
      </c>
      <c r="I34" s="1">
        <v>1</v>
      </c>
      <c r="J34" s="1">
        <v>0</v>
      </c>
      <c r="K34" s="1">
        <v>0</v>
      </c>
      <c r="L34" s="1">
        <v>0</v>
      </c>
      <c r="M34" s="1" t="s">
        <v>958</v>
      </c>
      <c r="N34" s="1" t="s">
        <v>632</v>
      </c>
      <c r="O34" s="1" t="s">
        <v>959</v>
      </c>
      <c r="P34" s="1" t="s">
        <v>960</v>
      </c>
      <c r="Q34" s="1" t="s">
        <v>961</v>
      </c>
      <c r="R34" s="1">
        <v>35</v>
      </c>
      <c r="S34" s="1">
        <v>1</v>
      </c>
      <c r="T34" s="1" t="s">
        <v>963</v>
      </c>
      <c r="U34" s="1" t="str">
        <f>HYPERLINK("http://dx.doi.org/10.1177/08438714221146921a","http://dx.doi.org/10.1177/08438714221146921a")</f>
        <v>http://dx.doi.org/10.1177/08438714221146921a</v>
      </c>
      <c r="V34" s="1">
        <v>3</v>
      </c>
      <c r="W34" s="1" t="s">
        <v>610</v>
      </c>
      <c r="X34" s="1" t="s">
        <v>124</v>
      </c>
      <c r="Y34" s="1" t="s">
        <v>610</v>
      </c>
      <c r="Z34" s="1" t="s">
        <v>48</v>
      </c>
      <c r="AA34" s="1" t="s">
        <v>48</v>
      </c>
    </row>
    <row r="35" spans="1:27" s="1" customFormat="1" ht="18.5" x14ac:dyDescent="0.45">
      <c r="A35" s="1" t="s">
        <v>990</v>
      </c>
      <c r="B35" s="1" t="s">
        <v>991</v>
      </c>
      <c r="C35" s="1" t="s">
        <v>992</v>
      </c>
      <c r="D35" s="1" t="s">
        <v>53</v>
      </c>
      <c r="E35" s="2">
        <v>2023</v>
      </c>
      <c r="F35" s="1" t="s">
        <v>993</v>
      </c>
      <c r="G35" s="1" t="s">
        <v>58</v>
      </c>
      <c r="H35" s="1" t="s">
        <v>994</v>
      </c>
      <c r="I35" s="1">
        <v>126</v>
      </c>
      <c r="J35" s="1">
        <v>11</v>
      </c>
      <c r="K35" s="1">
        <v>2</v>
      </c>
      <c r="L35" s="1">
        <v>17</v>
      </c>
      <c r="M35" s="1" t="s">
        <v>530</v>
      </c>
      <c r="N35" s="1" t="s">
        <v>531</v>
      </c>
      <c r="O35" s="1" t="s">
        <v>532</v>
      </c>
      <c r="P35" s="1" t="s">
        <v>995</v>
      </c>
      <c r="Q35" s="1" t="s">
        <v>996</v>
      </c>
      <c r="R35" s="1">
        <v>15</v>
      </c>
      <c r="S35" s="1">
        <v>2</v>
      </c>
      <c r="T35" s="1" t="s">
        <v>997</v>
      </c>
      <c r="U35" s="1" t="str">
        <f>HYPERLINK("http://dx.doi.org/10.1108/JARHE-06-2021-0233","http://dx.doi.org/10.1108/JARHE-06-2021-0233")</f>
        <v>http://dx.doi.org/10.1108/JARHE-06-2021-0233</v>
      </c>
      <c r="V35" s="1">
        <v>23</v>
      </c>
      <c r="W35" s="1" t="s">
        <v>998</v>
      </c>
      <c r="X35" s="1" t="s">
        <v>124</v>
      </c>
      <c r="Y35" s="1" t="s">
        <v>998</v>
      </c>
      <c r="Z35" s="1" t="s">
        <v>48</v>
      </c>
      <c r="AA35" s="1" t="s">
        <v>48</v>
      </c>
    </row>
    <row r="36" spans="1:27" s="1" customFormat="1" ht="18.5" x14ac:dyDescent="0.45">
      <c r="A36" s="1" t="s">
        <v>278</v>
      </c>
      <c r="B36" s="1" t="s">
        <v>1042</v>
      </c>
      <c r="C36" s="1" t="s">
        <v>1043</v>
      </c>
      <c r="D36" s="1" t="s">
        <v>53</v>
      </c>
      <c r="E36" s="2">
        <v>2023</v>
      </c>
      <c r="F36" s="1" t="s">
        <v>1044</v>
      </c>
      <c r="G36" s="1" t="s">
        <v>58</v>
      </c>
      <c r="H36" s="1" t="s">
        <v>1045</v>
      </c>
      <c r="I36" s="1">
        <v>17</v>
      </c>
      <c r="J36" s="1">
        <v>6</v>
      </c>
      <c r="K36" s="1">
        <v>0</v>
      </c>
      <c r="L36" s="1">
        <v>0</v>
      </c>
      <c r="M36" s="1" t="s">
        <v>132</v>
      </c>
      <c r="N36" s="1" t="s">
        <v>133</v>
      </c>
      <c r="O36" s="1" t="s">
        <v>134</v>
      </c>
      <c r="P36" s="1" t="s">
        <v>48</v>
      </c>
      <c r="Q36" s="1" t="s">
        <v>1046</v>
      </c>
      <c r="R36" s="1">
        <v>12</v>
      </c>
      <c r="S36" s="1">
        <v>5</v>
      </c>
      <c r="T36" s="1" t="s">
        <v>1047</v>
      </c>
      <c r="U36" s="1" t="str">
        <f>HYPERLINK("http://dx.doi.org/10.3390/axioms12050415","http://dx.doi.org/10.3390/axioms12050415")</f>
        <v>http://dx.doi.org/10.3390/axioms12050415</v>
      </c>
      <c r="V36" s="1">
        <v>16</v>
      </c>
      <c r="W36" s="1" t="s">
        <v>260</v>
      </c>
      <c r="X36" s="1" t="s">
        <v>67</v>
      </c>
      <c r="Y36" s="1" t="s">
        <v>137</v>
      </c>
      <c r="Z36" s="1" t="s">
        <v>48</v>
      </c>
      <c r="AA36" s="1" t="s">
        <v>125</v>
      </c>
    </row>
    <row r="37" spans="1:27" s="1" customFormat="1" ht="18.5" x14ac:dyDescent="0.45">
      <c r="A37" s="1" t="s">
        <v>709</v>
      </c>
      <c r="B37" s="1" t="s">
        <v>1113</v>
      </c>
      <c r="C37" s="1" t="s">
        <v>904</v>
      </c>
      <c r="D37" s="1" t="s">
        <v>1114</v>
      </c>
      <c r="E37" s="2">
        <v>2023</v>
      </c>
      <c r="F37" s="1" t="s">
        <v>1115</v>
      </c>
      <c r="G37" s="1" t="s">
        <v>58</v>
      </c>
      <c r="H37" s="1" t="s">
        <v>1116</v>
      </c>
      <c r="I37" s="1">
        <v>104</v>
      </c>
      <c r="J37" s="1">
        <v>1</v>
      </c>
      <c r="K37" s="1">
        <v>2</v>
      </c>
      <c r="L37" s="1">
        <v>5</v>
      </c>
      <c r="M37" s="1" t="s">
        <v>503</v>
      </c>
      <c r="N37" s="1" t="s">
        <v>542</v>
      </c>
      <c r="O37" s="1" t="s">
        <v>543</v>
      </c>
      <c r="P37" s="1" t="s">
        <v>907</v>
      </c>
      <c r="Q37" s="1" t="s">
        <v>908</v>
      </c>
      <c r="R37" s="1">
        <v>195</v>
      </c>
      <c r="S37" s="1">
        <v>5</v>
      </c>
      <c r="T37" s="1" t="s">
        <v>1117</v>
      </c>
      <c r="U37" s="1" t="str">
        <f>HYPERLINK("http://dx.doi.org/10.1007/s10661-023-11218-5","http://dx.doi.org/10.1007/s10661-023-11218-5")</f>
        <v>http://dx.doi.org/10.1007/s10661-023-11218-5</v>
      </c>
      <c r="V37" s="1">
        <v>18</v>
      </c>
      <c r="W37" s="1" t="s">
        <v>438</v>
      </c>
      <c r="X37" s="1" t="s">
        <v>67</v>
      </c>
      <c r="Y37" s="1" t="s">
        <v>439</v>
      </c>
      <c r="Z37" s="1">
        <v>37100992</v>
      </c>
      <c r="AA37" s="1" t="s">
        <v>48</v>
      </c>
    </row>
    <row r="38" spans="1:27" s="1" customFormat="1" ht="18.5" x14ac:dyDescent="0.45">
      <c r="A38" s="1" t="s">
        <v>582</v>
      </c>
      <c r="B38" s="1" t="s">
        <v>1118</v>
      </c>
      <c r="C38" s="1" t="s">
        <v>1119</v>
      </c>
      <c r="D38" s="1" t="s">
        <v>53</v>
      </c>
      <c r="E38" s="2">
        <v>2023</v>
      </c>
      <c r="F38" s="1" t="s">
        <v>1120</v>
      </c>
      <c r="G38" s="1" t="s">
        <v>58</v>
      </c>
      <c r="H38" s="1" t="s">
        <v>1121</v>
      </c>
      <c r="I38" s="1">
        <v>26</v>
      </c>
      <c r="J38" s="1">
        <v>0</v>
      </c>
      <c r="K38" s="1">
        <v>0</v>
      </c>
      <c r="L38" s="1">
        <v>2</v>
      </c>
      <c r="M38" s="1" t="s">
        <v>1119</v>
      </c>
      <c r="N38" s="1" t="s">
        <v>1122</v>
      </c>
      <c r="O38" s="1" t="s">
        <v>1123</v>
      </c>
      <c r="P38" s="1" t="s">
        <v>1124</v>
      </c>
      <c r="Q38" s="1" t="s">
        <v>1125</v>
      </c>
      <c r="R38" s="1">
        <v>1</v>
      </c>
      <c r="S38" s="1">
        <v>20</v>
      </c>
      <c r="T38" s="1" t="s">
        <v>48</v>
      </c>
      <c r="U38" s="1" t="s">
        <v>48</v>
      </c>
      <c r="V38" s="1">
        <v>7</v>
      </c>
      <c r="W38" s="1" t="s">
        <v>1128</v>
      </c>
      <c r="X38" s="1" t="s">
        <v>124</v>
      </c>
      <c r="Y38" s="1" t="s">
        <v>1129</v>
      </c>
      <c r="Z38" s="1" t="s">
        <v>48</v>
      </c>
      <c r="AA38" s="1" t="s">
        <v>48</v>
      </c>
    </row>
    <row r="39" spans="1:27" s="1" customFormat="1" ht="18.5" x14ac:dyDescent="0.45">
      <c r="A39" s="1" t="s">
        <v>1131</v>
      </c>
      <c r="B39" s="1" t="s">
        <v>1132</v>
      </c>
      <c r="C39" s="1" t="s">
        <v>770</v>
      </c>
      <c r="D39" s="1" t="s">
        <v>53</v>
      </c>
      <c r="E39" s="2">
        <v>2023</v>
      </c>
      <c r="F39" s="1" t="s">
        <v>1133</v>
      </c>
      <c r="G39" s="1" t="s">
        <v>58</v>
      </c>
      <c r="H39" s="1" t="s">
        <v>1134</v>
      </c>
      <c r="I39" s="1">
        <v>85</v>
      </c>
      <c r="J39" s="1">
        <v>12</v>
      </c>
      <c r="K39" s="1">
        <v>2</v>
      </c>
      <c r="L39" s="1">
        <v>34</v>
      </c>
      <c r="M39" s="1" t="s">
        <v>347</v>
      </c>
      <c r="N39" s="1" t="s">
        <v>348</v>
      </c>
      <c r="O39" s="1" t="s">
        <v>349</v>
      </c>
      <c r="P39" s="1" t="s">
        <v>771</v>
      </c>
      <c r="Q39" s="1" t="s">
        <v>772</v>
      </c>
      <c r="R39" s="1">
        <v>30</v>
      </c>
      <c r="S39" s="1">
        <v>4</v>
      </c>
      <c r="T39" s="1" t="s">
        <v>1135</v>
      </c>
      <c r="U39" s="1" t="str">
        <f>HYPERLINK("http://dx.doi.org/10.1002/csr.2456","http://dx.doi.org/10.1002/csr.2456")</f>
        <v>http://dx.doi.org/10.1002/csr.2456</v>
      </c>
      <c r="V39" s="1">
        <v>11</v>
      </c>
      <c r="W39" s="1" t="s">
        <v>773</v>
      </c>
      <c r="X39" s="1" t="s">
        <v>106</v>
      </c>
      <c r="Y39" s="1" t="s">
        <v>774</v>
      </c>
      <c r="Z39" s="1" t="s">
        <v>48</v>
      </c>
      <c r="AA39" s="1" t="s">
        <v>48</v>
      </c>
    </row>
    <row r="40" spans="1:27" s="1" customFormat="1" ht="18.5" x14ac:dyDescent="0.45">
      <c r="A40" s="1" t="s">
        <v>1136</v>
      </c>
      <c r="B40" s="1" t="s">
        <v>1137</v>
      </c>
      <c r="C40" s="1" t="s">
        <v>1138</v>
      </c>
      <c r="D40" s="1" t="s">
        <v>53</v>
      </c>
      <c r="E40" s="2">
        <v>2023</v>
      </c>
      <c r="F40" s="1" t="s">
        <v>1139</v>
      </c>
      <c r="G40" s="1" t="s">
        <v>58</v>
      </c>
      <c r="H40" s="1" t="s">
        <v>1140</v>
      </c>
      <c r="I40" s="1">
        <v>31</v>
      </c>
      <c r="J40" s="1">
        <v>2</v>
      </c>
      <c r="K40" s="1">
        <v>3</v>
      </c>
      <c r="L40" s="1">
        <v>18</v>
      </c>
      <c r="M40" s="1" t="s">
        <v>1141</v>
      </c>
      <c r="N40" s="1" t="s">
        <v>1142</v>
      </c>
      <c r="O40" s="1" t="s">
        <v>1143</v>
      </c>
      <c r="P40" s="1" t="s">
        <v>1144</v>
      </c>
      <c r="Q40" s="1" t="s">
        <v>1145</v>
      </c>
      <c r="R40" s="1">
        <v>16</v>
      </c>
      <c r="S40" s="1">
        <v>1</v>
      </c>
      <c r="T40" s="1" t="s">
        <v>1146</v>
      </c>
      <c r="U40" s="1" t="str">
        <f>HYPERLINK("http://dx.doi.org/10.4018/IJISSCM.316182","http://dx.doi.org/10.4018/IJISSCM.316182")</f>
        <v>http://dx.doi.org/10.4018/IJISSCM.316182</v>
      </c>
      <c r="V40" s="1">
        <v>1</v>
      </c>
      <c r="W40" s="1" t="s">
        <v>562</v>
      </c>
      <c r="X40" s="1" t="s">
        <v>124</v>
      </c>
      <c r="Y40" s="1" t="s">
        <v>510</v>
      </c>
      <c r="Z40" s="1" t="s">
        <v>48</v>
      </c>
      <c r="AA40" s="1" t="s">
        <v>125</v>
      </c>
    </row>
    <row r="41" spans="1:27" s="1" customFormat="1" ht="18.5" x14ac:dyDescent="0.45">
      <c r="A41" s="1" t="s">
        <v>355</v>
      </c>
      <c r="B41" s="1" t="s">
        <v>1213</v>
      </c>
      <c r="C41" s="1" t="s">
        <v>1214</v>
      </c>
      <c r="D41" s="1" t="s">
        <v>53</v>
      </c>
      <c r="E41" s="2">
        <v>2023</v>
      </c>
      <c r="F41" s="1" t="s">
        <v>1215</v>
      </c>
      <c r="G41" s="1" t="s">
        <v>58</v>
      </c>
      <c r="H41" s="1" t="s">
        <v>1216</v>
      </c>
      <c r="I41" s="1">
        <v>63</v>
      </c>
      <c r="J41" s="1">
        <v>0</v>
      </c>
      <c r="K41" s="1">
        <v>1</v>
      </c>
      <c r="L41" s="1">
        <v>1</v>
      </c>
      <c r="M41" s="1" t="s">
        <v>347</v>
      </c>
      <c r="N41" s="1" t="s">
        <v>348</v>
      </c>
      <c r="O41" s="1" t="s">
        <v>349</v>
      </c>
      <c r="P41" s="1" t="s">
        <v>1217</v>
      </c>
      <c r="Q41" s="1" t="s">
        <v>48</v>
      </c>
      <c r="R41" s="1">
        <v>15</v>
      </c>
      <c r="S41" s="1">
        <v>3</v>
      </c>
      <c r="T41" s="1" t="s">
        <v>1218</v>
      </c>
      <c r="U41" s="1" t="str">
        <f>HYPERLINK("http://dx.doi.org/10.1002/pop4.381","http://dx.doi.org/10.1002/pop4.381")</f>
        <v>http://dx.doi.org/10.1002/pop4.381</v>
      </c>
      <c r="V41" s="1">
        <v>27</v>
      </c>
      <c r="W41" s="1" t="s">
        <v>1219</v>
      </c>
      <c r="X41" s="1" t="s">
        <v>124</v>
      </c>
      <c r="Y41" s="1" t="s">
        <v>1219</v>
      </c>
      <c r="Z41" s="1" t="s">
        <v>48</v>
      </c>
      <c r="AA41" s="1" t="s">
        <v>48</v>
      </c>
    </row>
    <row r="42" spans="1:27" s="1" customFormat="1" ht="18.5" x14ac:dyDescent="0.45">
      <c r="A42" s="1" t="s">
        <v>1220</v>
      </c>
      <c r="B42" s="1" t="s">
        <v>1221</v>
      </c>
      <c r="C42" s="1" t="s">
        <v>1222</v>
      </c>
      <c r="D42" s="1" t="s">
        <v>111</v>
      </c>
      <c r="E42" s="2">
        <v>2023</v>
      </c>
      <c r="F42" s="1" t="s">
        <v>1223</v>
      </c>
      <c r="G42" s="1" t="s">
        <v>58</v>
      </c>
      <c r="H42" s="1" t="s">
        <v>1224</v>
      </c>
      <c r="I42" s="1">
        <v>50</v>
      </c>
      <c r="J42" s="1">
        <v>1</v>
      </c>
      <c r="K42" s="1">
        <v>2</v>
      </c>
      <c r="L42" s="1">
        <v>2</v>
      </c>
      <c r="M42" s="1" t="s">
        <v>958</v>
      </c>
      <c r="N42" s="1" t="s">
        <v>632</v>
      </c>
      <c r="O42" s="1" t="s">
        <v>959</v>
      </c>
      <c r="P42" s="1" t="s">
        <v>1225</v>
      </c>
      <c r="Q42" s="1" t="s">
        <v>1226</v>
      </c>
      <c r="R42" s="1" t="s">
        <v>48</v>
      </c>
      <c r="S42" s="1" t="s">
        <v>48</v>
      </c>
      <c r="T42" s="1" t="s">
        <v>1227</v>
      </c>
      <c r="U42" s="1" t="str">
        <f>HYPERLINK("http://dx.doi.org/10.1177/09721509221139689","http://dx.doi.org/10.1177/09721509221139689")</f>
        <v>http://dx.doi.org/10.1177/09721509221139689</v>
      </c>
      <c r="V42" s="1">
        <v>22</v>
      </c>
      <c r="W42" s="1" t="s">
        <v>1228</v>
      </c>
      <c r="X42" s="1" t="s">
        <v>124</v>
      </c>
      <c r="Y42" s="1" t="s">
        <v>510</v>
      </c>
      <c r="Z42" s="1" t="s">
        <v>48</v>
      </c>
      <c r="AA42" s="1" t="s">
        <v>48</v>
      </c>
    </row>
    <row r="43" spans="1:27" s="1" customFormat="1" ht="18.5" x14ac:dyDescent="0.45">
      <c r="A43" s="1" t="s">
        <v>1263</v>
      </c>
      <c r="B43" s="1" t="s">
        <v>1264</v>
      </c>
      <c r="C43" s="1" t="s">
        <v>1265</v>
      </c>
      <c r="D43" s="1" t="s">
        <v>111</v>
      </c>
      <c r="E43" s="2">
        <v>2023</v>
      </c>
      <c r="F43" s="1" t="s">
        <v>1266</v>
      </c>
      <c r="G43" s="1" t="s">
        <v>115</v>
      </c>
      <c r="H43" s="1" t="s">
        <v>1267</v>
      </c>
      <c r="I43" s="1">
        <v>56</v>
      </c>
      <c r="J43" s="1">
        <v>1</v>
      </c>
      <c r="K43" s="1">
        <v>0</v>
      </c>
      <c r="L43" s="1">
        <v>0</v>
      </c>
      <c r="M43" s="1" t="s">
        <v>98</v>
      </c>
      <c r="N43" s="1" t="s">
        <v>99</v>
      </c>
      <c r="O43" s="1" t="s">
        <v>100</v>
      </c>
      <c r="P43" s="1" t="s">
        <v>1268</v>
      </c>
      <c r="Q43" s="1" t="s">
        <v>1269</v>
      </c>
      <c r="R43" s="1" t="s">
        <v>48</v>
      </c>
      <c r="S43" s="1" t="s">
        <v>48</v>
      </c>
      <c r="T43" s="1" t="s">
        <v>1270</v>
      </c>
      <c r="U43" s="1" t="str">
        <f>HYPERLINK("http://dx.doi.org/10.1177/00111287231202784","http://dx.doi.org/10.1177/00111287231202784")</f>
        <v>http://dx.doi.org/10.1177/00111287231202784</v>
      </c>
      <c r="V43" s="1">
        <v>25</v>
      </c>
      <c r="W43" s="1" t="s">
        <v>1271</v>
      </c>
      <c r="X43" s="1" t="s">
        <v>106</v>
      </c>
      <c r="Y43" s="1" t="s">
        <v>1271</v>
      </c>
      <c r="Z43" s="1" t="s">
        <v>48</v>
      </c>
      <c r="AA43" s="1" t="s">
        <v>48</v>
      </c>
    </row>
    <row r="44" spans="1:27" s="1" customFormat="1" ht="18.5" x14ac:dyDescent="0.45">
      <c r="A44" s="1" t="s">
        <v>798</v>
      </c>
      <c r="B44" s="1" t="s">
        <v>1272</v>
      </c>
      <c r="C44" s="1" t="s">
        <v>1273</v>
      </c>
      <c r="D44" s="1" t="s">
        <v>53</v>
      </c>
      <c r="E44" s="2">
        <v>2023</v>
      </c>
      <c r="F44" s="1" t="s">
        <v>1274</v>
      </c>
      <c r="G44" s="1" t="s">
        <v>58</v>
      </c>
      <c r="H44" s="1" t="s">
        <v>1275</v>
      </c>
      <c r="I44" s="1">
        <v>49</v>
      </c>
      <c r="J44" s="1">
        <v>11</v>
      </c>
      <c r="K44" s="1">
        <v>1</v>
      </c>
      <c r="L44" s="1">
        <v>6</v>
      </c>
      <c r="M44" s="1" t="s">
        <v>215</v>
      </c>
      <c r="N44" s="1" t="s">
        <v>158</v>
      </c>
      <c r="O44" s="1" t="s">
        <v>216</v>
      </c>
      <c r="P44" s="1" t="s">
        <v>1276</v>
      </c>
      <c r="Q44" s="1" t="s">
        <v>1277</v>
      </c>
      <c r="R44" s="1">
        <v>123</v>
      </c>
      <c r="S44" s="1" t="s">
        <v>48</v>
      </c>
      <c r="T44" s="1" t="s">
        <v>1280</v>
      </c>
      <c r="U44" s="1" t="str">
        <f>HYPERLINK("http://dx.doi.org/10.1016/j.engappai.2023.106396","http://dx.doi.org/10.1016/j.engappai.2023.106396")</f>
        <v>http://dx.doi.org/10.1016/j.engappai.2023.106396</v>
      </c>
      <c r="V44" s="1">
        <v>19</v>
      </c>
      <c r="W44" s="1" t="s">
        <v>1281</v>
      </c>
      <c r="X44" s="1" t="s">
        <v>67</v>
      </c>
      <c r="Y44" s="1" t="s">
        <v>1282</v>
      </c>
      <c r="Z44" s="1" t="s">
        <v>48</v>
      </c>
      <c r="AA44" s="1" t="s">
        <v>48</v>
      </c>
    </row>
    <row r="45" spans="1:27" s="1" customFormat="1" ht="18.5" x14ac:dyDescent="0.45">
      <c r="A45" s="1" t="s">
        <v>1283</v>
      </c>
      <c r="B45" s="1" t="s">
        <v>1284</v>
      </c>
      <c r="C45" s="1" t="s">
        <v>51</v>
      </c>
      <c r="D45" s="1" t="s">
        <v>53</v>
      </c>
      <c r="E45" s="2">
        <v>2023</v>
      </c>
      <c r="F45" s="1" t="s">
        <v>1285</v>
      </c>
      <c r="G45" s="1" t="s">
        <v>58</v>
      </c>
      <c r="H45" s="1" t="s">
        <v>1286</v>
      </c>
      <c r="I45" s="1">
        <v>126</v>
      </c>
      <c r="J45" s="1">
        <v>9</v>
      </c>
      <c r="K45" s="1">
        <v>2</v>
      </c>
      <c r="L45" s="1">
        <v>13</v>
      </c>
      <c r="M45" s="1" t="s">
        <v>60</v>
      </c>
      <c r="N45" s="1" t="s">
        <v>61</v>
      </c>
      <c r="O45" s="1" t="s">
        <v>62</v>
      </c>
      <c r="P45" s="1" t="s">
        <v>63</v>
      </c>
      <c r="Q45" s="1" t="s">
        <v>64</v>
      </c>
      <c r="R45" s="1">
        <v>71</v>
      </c>
      <c r="S45" s="1">
        <v>11</v>
      </c>
      <c r="T45" s="1" t="s">
        <v>1287</v>
      </c>
      <c r="U45" s="1" t="str">
        <f>HYPERLINK("http://dx.doi.org/10.1016/j.asr.2023.01.027","http://dx.doi.org/10.1016/j.asr.2023.01.027")</f>
        <v>http://dx.doi.org/10.1016/j.asr.2023.01.027</v>
      </c>
      <c r="V45" s="1">
        <v>19</v>
      </c>
      <c r="W45" s="1" t="s">
        <v>66</v>
      </c>
      <c r="X45" s="1" t="s">
        <v>67</v>
      </c>
      <c r="Y45" s="1" t="s">
        <v>68</v>
      </c>
      <c r="Z45" s="1" t="s">
        <v>48</v>
      </c>
      <c r="AA45" s="1" t="s">
        <v>48</v>
      </c>
    </row>
    <row r="46" spans="1:27" s="1" customFormat="1" ht="18.5" x14ac:dyDescent="0.45">
      <c r="A46" s="1" t="s">
        <v>1289</v>
      </c>
      <c r="B46" s="1" t="s">
        <v>1290</v>
      </c>
      <c r="C46" s="1" t="s">
        <v>369</v>
      </c>
      <c r="D46" s="1" t="s">
        <v>53</v>
      </c>
      <c r="E46" s="2">
        <v>2023</v>
      </c>
      <c r="F46" s="1" t="s">
        <v>1291</v>
      </c>
      <c r="G46" s="1" t="s">
        <v>58</v>
      </c>
      <c r="H46" s="1" t="s">
        <v>1292</v>
      </c>
      <c r="I46" s="1">
        <v>29</v>
      </c>
      <c r="J46" s="1">
        <v>13</v>
      </c>
      <c r="K46" s="1">
        <v>0</v>
      </c>
      <c r="L46" s="1">
        <v>0</v>
      </c>
      <c r="M46" s="1" t="s">
        <v>371</v>
      </c>
      <c r="N46" s="1" t="s">
        <v>372</v>
      </c>
      <c r="O46" s="1" t="s">
        <v>373</v>
      </c>
      <c r="P46" s="1" t="s">
        <v>374</v>
      </c>
      <c r="Q46" s="1" t="s">
        <v>48</v>
      </c>
      <c r="R46" s="1">
        <v>13</v>
      </c>
      <c r="S46" s="1">
        <v>2</v>
      </c>
      <c r="T46" s="1" t="s">
        <v>48</v>
      </c>
      <c r="U46" s="1" t="s">
        <v>48</v>
      </c>
      <c r="V46" s="1">
        <v>14</v>
      </c>
      <c r="W46" s="1" t="s">
        <v>260</v>
      </c>
      <c r="X46" s="1" t="s">
        <v>124</v>
      </c>
      <c r="Y46" s="1" t="s">
        <v>137</v>
      </c>
      <c r="Z46" s="1" t="s">
        <v>48</v>
      </c>
      <c r="AA46" s="1" t="s">
        <v>48</v>
      </c>
    </row>
    <row r="47" spans="1:27" s="1" customFormat="1" ht="18.5" x14ac:dyDescent="0.45">
      <c r="A47" s="1" t="s">
        <v>1293</v>
      </c>
      <c r="B47" s="1" t="s">
        <v>1294</v>
      </c>
      <c r="C47" s="1" t="s">
        <v>1295</v>
      </c>
      <c r="D47" s="1" t="s">
        <v>30</v>
      </c>
      <c r="E47" s="2">
        <v>2023</v>
      </c>
      <c r="F47" s="1" t="s">
        <v>1296</v>
      </c>
      <c r="G47" s="1" t="s">
        <v>58</v>
      </c>
      <c r="H47" s="1" t="s">
        <v>48</v>
      </c>
      <c r="I47" s="1">
        <v>0</v>
      </c>
      <c r="J47" s="1">
        <v>0</v>
      </c>
      <c r="K47" s="1">
        <v>0</v>
      </c>
      <c r="L47" s="1">
        <v>0</v>
      </c>
      <c r="M47" s="1" t="s">
        <v>1297</v>
      </c>
      <c r="N47" s="1" t="s">
        <v>158</v>
      </c>
      <c r="O47" s="1" t="s">
        <v>1298</v>
      </c>
      <c r="P47" s="1" t="s">
        <v>1299</v>
      </c>
      <c r="Q47" s="1" t="s">
        <v>1300</v>
      </c>
      <c r="R47" s="1">
        <v>48</v>
      </c>
      <c r="S47" s="1" t="s">
        <v>48</v>
      </c>
      <c r="T47" s="1" t="s">
        <v>48</v>
      </c>
      <c r="U47" s="1" t="s">
        <v>48</v>
      </c>
      <c r="V47" s="1">
        <v>1</v>
      </c>
      <c r="W47" s="1" t="s">
        <v>1302</v>
      </c>
      <c r="X47" s="1" t="s">
        <v>1303</v>
      </c>
      <c r="Y47" s="1" t="s">
        <v>1304</v>
      </c>
      <c r="Z47" s="1" t="s">
        <v>48</v>
      </c>
      <c r="AA47" s="1" t="s">
        <v>48</v>
      </c>
    </row>
    <row r="48" spans="1:27" s="1" customFormat="1" ht="18.5" x14ac:dyDescent="0.45">
      <c r="A48" s="1" t="s">
        <v>724</v>
      </c>
      <c r="B48" s="1" t="s">
        <v>1353</v>
      </c>
      <c r="C48" s="1" t="s">
        <v>1354</v>
      </c>
      <c r="D48" s="1" t="s">
        <v>53</v>
      </c>
      <c r="E48" s="2">
        <v>2023</v>
      </c>
      <c r="F48" s="1" t="s">
        <v>1355</v>
      </c>
      <c r="G48" s="1" t="s">
        <v>58</v>
      </c>
      <c r="H48" s="1" t="s">
        <v>1356</v>
      </c>
      <c r="I48" s="1">
        <v>43</v>
      </c>
      <c r="J48" s="1">
        <v>0</v>
      </c>
      <c r="K48" s="1">
        <v>0</v>
      </c>
      <c r="L48" s="1">
        <v>0</v>
      </c>
      <c r="M48" s="1" t="s">
        <v>132</v>
      </c>
      <c r="N48" s="1" t="s">
        <v>133</v>
      </c>
      <c r="O48" s="1" t="s">
        <v>838</v>
      </c>
      <c r="P48" s="1" t="s">
        <v>48</v>
      </c>
      <c r="Q48" s="1" t="s">
        <v>1357</v>
      </c>
      <c r="R48" s="1">
        <v>14</v>
      </c>
      <c r="S48" s="1">
        <v>9</v>
      </c>
      <c r="T48" s="1" t="s">
        <v>1358</v>
      </c>
      <c r="U48" s="1" t="str">
        <f>HYPERLINK("http://dx.doi.org/10.3390/rel14091100","http://dx.doi.org/10.3390/rel14091100")</f>
        <v>http://dx.doi.org/10.3390/rel14091100</v>
      </c>
      <c r="V48" s="1">
        <v>16</v>
      </c>
      <c r="W48" s="1" t="s">
        <v>1359</v>
      </c>
      <c r="X48" s="1" t="s">
        <v>178</v>
      </c>
      <c r="Y48" s="1" t="s">
        <v>1359</v>
      </c>
      <c r="Z48" s="1" t="s">
        <v>48</v>
      </c>
      <c r="AA48" s="1" t="s">
        <v>125</v>
      </c>
    </row>
    <row r="49" spans="1:27" s="1" customFormat="1" ht="18.5" x14ac:dyDescent="0.45">
      <c r="A49" s="1" t="s">
        <v>1361</v>
      </c>
      <c r="B49" s="1" t="s">
        <v>1362</v>
      </c>
      <c r="C49" s="1" t="s">
        <v>1307</v>
      </c>
      <c r="D49" s="1" t="s">
        <v>111</v>
      </c>
      <c r="E49" s="2">
        <v>2023</v>
      </c>
      <c r="F49" s="1" t="s">
        <v>1363</v>
      </c>
      <c r="G49" s="1" t="s">
        <v>58</v>
      </c>
      <c r="H49" s="1" t="s">
        <v>1364</v>
      </c>
      <c r="I49" s="1">
        <v>26</v>
      </c>
      <c r="J49" s="1">
        <v>0</v>
      </c>
      <c r="K49" s="1">
        <v>0</v>
      </c>
      <c r="L49" s="1">
        <v>1</v>
      </c>
      <c r="M49" s="1" t="s">
        <v>98</v>
      </c>
      <c r="N49" s="1" t="s">
        <v>99</v>
      </c>
      <c r="O49" s="1" t="s">
        <v>100</v>
      </c>
      <c r="P49" s="1" t="s">
        <v>1311</v>
      </c>
      <c r="Q49" s="1" t="s">
        <v>1312</v>
      </c>
      <c r="R49" s="1" t="s">
        <v>48</v>
      </c>
      <c r="S49" s="1" t="s">
        <v>48</v>
      </c>
      <c r="T49" s="1" t="s">
        <v>1365</v>
      </c>
      <c r="U49" s="1" t="str">
        <f>HYPERLINK("http://dx.doi.org/10.1177/2455328X231182806","http://dx.doi.org/10.1177/2455328X231182806")</f>
        <v>http://dx.doi.org/10.1177/2455328X231182806</v>
      </c>
      <c r="V49" s="1">
        <v>10</v>
      </c>
      <c r="W49" s="1" t="s">
        <v>460</v>
      </c>
      <c r="X49" s="1" t="s">
        <v>124</v>
      </c>
      <c r="Y49" s="1" t="s">
        <v>461</v>
      </c>
      <c r="Z49" s="1" t="s">
        <v>48</v>
      </c>
      <c r="AA49" s="1" t="s">
        <v>48</v>
      </c>
    </row>
    <row r="50" spans="1:27" s="1" customFormat="1" ht="18.5" x14ac:dyDescent="0.45">
      <c r="A50" s="1" t="s">
        <v>1367</v>
      </c>
      <c r="B50" s="1" t="s">
        <v>1368</v>
      </c>
      <c r="C50" s="1" t="s">
        <v>1369</v>
      </c>
      <c r="D50" s="1" t="s">
        <v>53</v>
      </c>
      <c r="E50" s="2">
        <v>2023</v>
      </c>
      <c r="F50" s="1" t="s">
        <v>1370</v>
      </c>
      <c r="G50" s="1" t="s">
        <v>58</v>
      </c>
      <c r="H50" s="1" t="s">
        <v>645</v>
      </c>
      <c r="I50" s="1">
        <v>41</v>
      </c>
      <c r="J50" s="1">
        <v>9</v>
      </c>
      <c r="K50" s="1">
        <v>1</v>
      </c>
      <c r="L50" s="1">
        <v>4</v>
      </c>
      <c r="M50" s="1" t="s">
        <v>503</v>
      </c>
      <c r="N50" s="1" t="s">
        <v>542</v>
      </c>
      <c r="O50" s="1" t="s">
        <v>543</v>
      </c>
      <c r="P50" s="1" t="s">
        <v>1371</v>
      </c>
      <c r="Q50" s="1" t="s">
        <v>1372</v>
      </c>
      <c r="R50" s="1">
        <v>111</v>
      </c>
      <c r="S50" s="1">
        <v>16</v>
      </c>
      <c r="T50" s="1" t="s">
        <v>1373</v>
      </c>
      <c r="U50" s="1" t="str">
        <f>HYPERLINK("http://dx.doi.org/10.1007/s11071-023-08662-w","http://dx.doi.org/10.1007/s11071-023-08662-w")</f>
        <v>http://dx.doi.org/10.1007/s11071-023-08662-w</v>
      </c>
      <c r="V50" s="1">
        <v>17</v>
      </c>
      <c r="W50" s="1" t="s">
        <v>1374</v>
      </c>
      <c r="X50" s="1" t="s">
        <v>67</v>
      </c>
      <c r="Y50" s="1" t="s">
        <v>1375</v>
      </c>
      <c r="Z50" s="1" t="s">
        <v>48</v>
      </c>
      <c r="AA50" s="1" t="s">
        <v>48</v>
      </c>
    </row>
    <row r="51" spans="1:27" s="1" customFormat="1" ht="18.5" x14ac:dyDescent="0.45">
      <c r="A51" s="1" t="s">
        <v>1376</v>
      </c>
      <c r="B51" s="1" t="s">
        <v>1377</v>
      </c>
      <c r="C51" s="1" t="s">
        <v>209</v>
      </c>
      <c r="D51" s="1" t="s">
        <v>53</v>
      </c>
      <c r="E51" s="2">
        <v>2023</v>
      </c>
      <c r="F51" s="1" t="s">
        <v>1378</v>
      </c>
      <c r="G51" s="1" t="s">
        <v>58</v>
      </c>
      <c r="H51" s="1" t="s">
        <v>1379</v>
      </c>
      <c r="I51" s="1">
        <v>54</v>
      </c>
      <c r="J51" s="1">
        <v>42</v>
      </c>
      <c r="K51" s="1">
        <v>6</v>
      </c>
      <c r="L51" s="1">
        <v>21</v>
      </c>
      <c r="M51" s="1" t="s">
        <v>215</v>
      </c>
      <c r="N51" s="1" t="s">
        <v>158</v>
      </c>
      <c r="O51" s="1" t="s">
        <v>216</v>
      </c>
      <c r="P51" s="1" t="s">
        <v>217</v>
      </c>
      <c r="Q51" s="1" t="s">
        <v>218</v>
      </c>
      <c r="R51" s="1">
        <v>216</v>
      </c>
      <c r="S51" s="1" t="s">
        <v>48</v>
      </c>
      <c r="T51" s="1" t="s">
        <v>1381</v>
      </c>
      <c r="U51" s="1" t="str">
        <f>HYPERLINK("http://dx.doi.org/10.1016/j.eswa.2022.119470","http://dx.doi.org/10.1016/j.eswa.2022.119470")</f>
        <v>http://dx.doi.org/10.1016/j.eswa.2022.119470</v>
      </c>
      <c r="V51" s="1">
        <v>17</v>
      </c>
      <c r="W51" s="1" t="s">
        <v>221</v>
      </c>
      <c r="X51" s="1" t="s">
        <v>67</v>
      </c>
      <c r="Y51" s="1" t="s">
        <v>222</v>
      </c>
      <c r="Z51" s="1" t="s">
        <v>48</v>
      </c>
      <c r="AA51" s="1" t="s">
        <v>48</v>
      </c>
    </row>
    <row r="52" spans="1:27" s="1" customFormat="1" ht="18.5" x14ac:dyDescent="0.45">
      <c r="A52" s="1" t="s">
        <v>1414</v>
      </c>
      <c r="B52" s="1" t="s">
        <v>1415</v>
      </c>
      <c r="C52" s="1" t="s">
        <v>1416</v>
      </c>
      <c r="D52" s="1" t="s">
        <v>53</v>
      </c>
      <c r="E52" s="2">
        <v>2023</v>
      </c>
      <c r="F52" s="1" t="s">
        <v>1417</v>
      </c>
      <c r="G52" s="1" t="s">
        <v>58</v>
      </c>
      <c r="H52" s="1" t="s">
        <v>1418</v>
      </c>
      <c r="I52" s="1">
        <v>22</v>
      </c>
      <c r="J52" s="1">
        <v>1</v>
      </c>
      <c r="K52" s="1">
        <v>0</v>
      </c>
      <c r="L52" s="1">
        <v>2</v>
      </c>
      <c r="M52" s="1" t="s">
        <v>503</v>
      </c>
      <c r="N52" s="1" t="s">
        <v>504</v>
      </c>
      <c r="O52" s="1" t="s">
        <v>505</v>
      </c>
      <c r="P52" s="1" t="s">
        <v>1419</v>
      </c>
      <c r="Q52" s="1" t="s">
        <v>1420</v>
      </c>
      <c r="R52" s="1">
        <v>21</v>
      </c>
      <c r="S52" s="1">
        <v>4</v>
      </c>
      <c r="T52" s="1" t="s">
        <v>1421</v>
      </c>
      <c r="U52" s="1" t="str">
        <f>HYPERLINK("http://dx.doi.org/10.1007/s40953-023-00358-7","http://dx.doi.org/10.1007/s40953-023-00358-7")</f>
        <v>http://dx.doi.org/10.1007/s40953-023-00358-7</v>
      </c>
      <c r="V52" s="1">
        <v>24</v>
      </c>
      <c r="W52" s="1" t="s">
        <v>509</v>
      </c>
      <c r="X52" s="1" t="s">
        <v>124</v>
      </c>
      <c r="Y52" s="1" t="s">
        <v>510</v>
      </c>
      <c r="Z52" s="1" t="s">
        <v>48</v>
      </c>
      <c r="AA52" s="1" t="s">
        <v>48</v>
      </c>
    </row>
    <row r="53" spans="1:27" s="1" customFormat="1" ht="18.5" x14ac:dyDescent="0.45">
      <c r="A53" s="1" t="s">
        <v>734</v>
      </c>
      <c r="B53" s="1" t="s">
        <v>1422</v>
      </c>
      <c r="C53" s="1" t="s">
        <v>736</v>
      </c>
      <c r="D53" s="1" t="s">
        <v>53</v>
      </c>
      <c r="E53" s="2">
        <v>2023</v>
      </c>
      <c r="F53" s="1" t="s">
        <v>1423</v>
      </c>
      <c r="G53" s="1" t="s">
        <v>58</v>
      </c>
      <c r="H53" s="1" t="s">
        <v>1424</v>
      </c>
      <c r="I53" s="1">
        <v>13</v>
      </c>
      <c r="J53" s="1">
        <v>3</v>
      </c>
      <c r="K53" s="1">
        <v>0</v>
      </c>
      <c r="L53" s="1">
        <v>1</v>
      </c>
      <c r="M53" s="1" t="s">
        <v>739</v>
      </c>
      <c r="N53" s="1" t="s">
        <v>740</v>
      </c>
      <c r="O53" s="1" t="s">
        <v>741</v>
      </c>
      <c r="P53" s="1" t="s">
        <v>742</v>
      </c>
      <c r="Q53" s="1" t="s">
        <v>48</v>
      </c>
      <c r="R53" s="1">
        <v>47</v>
      </c>
      <c r="S53" s="1">
        <v>6</v>
      </c>
      <c r="T53" s="1" t="s">
        <v>1425</v>
      </c>
      <c r="U53" s="1" t="str">
        <f>HYPERLINK("http://dx.doi.org/10.46793/KgJMat2306.911D","http://dx.doi.org/10.46793/KgJMat2306.911D")</f>
        <v>http://dx.doi.org/10.46793/KgJMat2306.911D</v>
      </c>
      <c r="V53" s="1">
        <v>23</v>
      </c>
      <c r="W53" s="1" t="s">
        <v>137</v>
      </c>
      <c r="X53" s="1" t="s">
        <v>124</v>
      </c>
      <c r="Y53" s="1" t="s">
        <v>137</v>
      </c>
      <c r="Z53" s="1" t="s">
        <v>48</v>
      </c>
      <c r="AA53" s="1" t="s">
        <v>125</v>
      </c>
    </row>
    <row r="54" spans="1:27" s="1" customFormat="1" ht="18.5" x14ac:dyDescent="0.45">
      <c r="A54" s="1" t="s">
        <v>1426</v>
      </c>
      <c r="B54" s="1" t="s">
        <v>1427</v>
      </c>
      <c r="C54" s="1" t="s">
        <v>1428</v>
      </c>
      <c r="D54" s="1" t="s">
        <v>53</v>
      </c>
      <c r="E54" s="2">
        <v>2023</v>
      </c>
      <c r="F54" s="1" t="s">
        <v>1429</v>
      </c>
      <c r="G54" s="1" t="s">
        <v>58</v>
      </c>
      <c r="H54" s="1" t="s">
        <v>1292</v>
      </c>
      <c r="I54" s="1">
        <v>51</v>
      </c>
      <c r="J54" s="1">
        <v>17</v>
      </c>
      <c r="K54" s="1">
        <v>0</v>
      </c>
      <c r="L54" s="1">
        <v>10</v>
      </c>
      <c r="M54" s="1" t="s">
        <v>1430</v>
      </c>
      <c r="N54" s="1" t="s">
        <v>1431</v>
      </c>
      <c r="O54" s="1" t="s">
        <v>1432</v>
      </c>
      <c r="P54" s="1" t="s">
        <v>1433</v>
      </c>
      <c r="Q54" s="1" t="s">
        <v>1434</v>
      </c>
      <c r="R54" s="1">
        <v>20</v>
      </c>
      <c r="S54" s="1">
        <v>1</v>
      </c>
      <c r="T54" s="1" t="s">
        <v>1435</v>
      </c>
      <c r="U54" s="1" t="str">
        <f>HYPERLINK("http://dx.doi.org/10.22111/IJFS.2023.7350","http://dx.doi.org/10.22111/IJFS.2023.7350")</f>
        <v>http://dx.doi.org/10.22111/IJFS.2023.7350</v>
      </c>
      <c r="V54" s="1">
        <v>18</v>
      </c>
      <c r="W54" s="1" t="s">
        <v>1041</v>
      </c>
      <c r="X54" s="1" t="s">
        <v>67</v>
      </c>
      <c r="Y54" s="1" t="s">
        <v>137</v>
      </c>
      <c r="Z54" s="1" t="s">
        <v>48</v>
      </c>
      <c r="AA54" s="1" t="s">
        <v>48</v>
      </c>
    </row>
    <row r="55" spans="1:27" s="1" customFormat="1" ht="18.5" x14ac:dyDescent="0.45">
      <c r="A55" s="1" t="s">
        <v>1485</v>
      </c>
      <c r="B55" s="1" t="s">
        <v>1486</v>
      </c>
      <c r="C55" s="1" t="s">
        <v>1487</v>
      </c>
      <c r="D55" s="1" t="s">
        <v>53</v>
      </c>
      <c r="E55" s="2">
        <v>2023</v>
      </c>
      <c r="F55" s="1" t="s">
        <v>1488</v>
      </c>
      <c r="G55" s="1" t="s">
        <v>58</v>
      </c>
      <c r="H55" s="1" t="s">
        <v>1489</v>
      </c>
      <c r="I55" s="1">
        <v>88</v>
      </c>
      <c r="J55" s="1">
        <v>3</v>
      </c>
      <c r="K55" s="1">
        <v>2</v>
      </c>
      <c r="L55" s="1">
        <v>25</v>
      </c>
      <c r="M55" s="1" t="s">
        <v>503</v>
      </c>
      <c r="N55" s="1" t="s">
        <v>504</v>
      </c>
      <c r="O55" s="1" t="s">
        <v>505</v>
      </c>
      <c r="P55" s="1" t="s">
        <v>1490</v>
      </c>
      <c r="Q55" s="1" t="s">
        <v>1491</v>
      </c>
      <c r="R55" s="1">
        <v>77</v>
      </c>
      <c r="S55" s="1">
        <v>3</v>
      </c>
      <c r="T55" s="1" t="s">
        <v>1492</v>
      </c>
      <c r="U55" s="1" t="str">
        <f>HYPERLINK("http://dx.doi.org/10.1140/epjd/s10053-023-00619-3","http://dx.doi.org/10.1140/epjd/s10053-023-00619-3")</f>
        <v>http://dx.doi.org/10.1140/epjd/s10053-023-00619-3</v>
      </c>
      <c r="V55" s="1">
        <v>9</v>
      </c>
      <c r="W55" s="1" t="s">
        <v>1493</v>
      </c>
      <c r="X55" s="1" t="s">
        <v>67</v>
      </c>
      <c r="Y55" s="1" t="s">
        <v>755</v>
      </c>
      <c r="Z55" s="1" t="s">
        <v>48</v>
      </c>
      <c r="AA55" s="1" t="s">
        <v>48</v>
      </c>
    </row>
    <row r="56" spans="1:27" s="1" customFormat="1" ht="18.5" x14ac:dyDescent="0.45">
      <c r="A56" s="1" t="s">
        <v>1574</v>
      </c>
      <c r="B56" s="1" t="s">
        <v>1575</v>
      </c>
      <c r="C56" s="1" t="s">
        <v>1576</v>
      </c>
      <c r="D56" s="1" t="s">
        <v>1114</v>
      </c>
      <c r="E56" s="2">
        <v>2023</v>
      </c>
      <c r="F56" s="1" t="s">
        <v>1577</v>
      </c>
      <c r="G56" s="1" t="s">
        <v>115</v>
      </c>
      <c r="H56" s="1" t="s">
        <v>1578</v>
      </c>
      <c r="I56" s="1">
        <v>99</v>
      </c>
      <c r="J56" s="1">
        <v>21</v>
      </c>
      <c r="K56" s="1">
        <v>16</v>
      </c>
      <c r="L56" s="1">
        <v>72</v>
      </c>
      <c r="M56" s="1" t="s">
        <v>1523</v>
      </c>
      <c r="N56" s="1" t="s">
        <v>632</v>
      </c>
      <c r="O56" s="1" t="s">
        <v>1524</v>
      </c>
      <c r="P56" s="1" t="s">
        <v>1579</v>
      </c>
      <c r="Q56" s="1" t="s">
        <v>1580</v>
      </c>
      <c r="R56" s="1">
        <v>8</v>
      </c>
      <c r="S56" s="1">
        <v>1</v>
      </c>
      <c r="T56" s="1" t="s">
        <v>1581</v>
      </c>
      <c r="U56" s="1" t="str">
        <f>HYPERLINK("http://dx.doi.org/10.1007/s41101-023-00185-0","http://dx.doi.org/10.1007/s41101-023-00185-0")</f>
        <v>http://dx.doi.org/10.1007/s41101-023-00185-0</v>
      </c>
      <c r="V56" s="1">
        <v>18</v>
      </c>
      <c r="W56" s="1" t="s">
        <v>1582</v>
      </c>
      <c r="X56" s="1" t="s">
        <v>124</v>
      </c>
      <c r="Y56" s="1" t="s">
        <v>1583</v>
      </c>
      <c r="Z56" s="1" t="s">
        <v>48</v>
      </c>
      <c r="AA56" s="1" t="s">
        <v>48</v>
      </c>
    </row>
    <row r="57" spans="1:27" s="1" customFormat="1" ht="18.5" x14ac:dyDescent="0.45">
      <c r="A57" s="1" t="s">
        <v>325</v>
      </c>
      <c r="B57" s="1" t="s">
        <v>1584</v>
      </c>
      <c r="C57" s="1" t="s">
        <v>820</v>
      </c>
      <c r="D57" s="1" t="s">
        <v>53</v>
      </c>
      <c r="E57" s="2">
        <v>2023</v>
      </c>
      <c r="F57" s="1" t="s">
        <v>328</v>
      </c>
      <c r="G57" s="1" t="s">
        <v>58</v>
      </c>
      <c r="H57" s="1" t="s">
        <v>329</v>
      </c>
      <c r="I57" s="1">
        <v>90</v>
      </c>
      <c r="J57" s="1">
        <v>6</v>
      </c>
      <c r="K57" s="1">
        <v>1</v>
      </c>
      <c r="L57" s="1">
        <v>6</v>
      </c>
      <c r="M57" s="1" t="s">
        <v>421</v>
      </c>
      <c r="N57" s="1" t="s">
        <v>422</v>
      </c>
      <c r="O57" s="1" t="s">
        <v>423</v>
      </c>
      <c r="P57" s="1" t="s">
        <v>48</v>
      </c>
      <c r="Q57" s="1" t="s">
        <v>822</v>
      </c>
      <c r="R57" s="1">
        <v>13</v>
      </c>
      <c r="S57" s="1" t="s">
        <v>48</v>
      </c>
      <c r="T57" s="1" t="s">
        <v>1585</v>
      </c>
      <c r="U57" s="1" t="str">
        <f>HYPERLINK("http://dx.doi.org/10.3389/fmicb.2022.1064055","http://dx.doi.org/10.3389/fmicb.2022.1064055")</f>
        <v>http://dx.doi.org/10.3389/fmicb.2022.1064055</v>
      </c>
      <c r="V57" s="1">
        <v>15</v>
      </c>
      <c r="W57" s="1" t="s">
        <v>824</v>
      </c>
      <c r="X57" s="1" t="s">
        <v>67</v>
      </c>
      <c r="Y57" s="1" t="s">
        <v>824</v>
      </c>
      <c r="Z57" s="1">
        <v>36777025</v>
      </c>
      <c r="AA57" s="1" t="s">
        <v>366</v>
      </c>
    </row>
    <row r="58" spans="1:27" s="1" customFormat="1" ht="18.5" x14ac:dyDescent="0.45">
      <c r="A58" s="1" t="s">
        <v>1658</v>
      </c>
      <c r="B58" s="1" t="s">
        <v>1659</v>
      </c>
      <c r="C58" s="1" t="s">
        <v>1660</v>
      </c>
      <c r="D58" s="1" t="s">
        <v>53</v>
      </c>
      <c r="E58" s="2">
        <v>2023</v>
      </c>
      <c r="F58" s="1" t="s">
        <v>1661</v>
      </c>
      <c r="G58" s="1" t="s">
        <v>77</v>
      </c>
      <c r="H58" s="1" t="s">
        <v>1662</v>
      </c>
      <c r="I58" s="1">
        <v>72</v>
      </c>
      <c r="J58" s="1">
        <v>0</v>
      </c>
      <c r="K58" s="1">
        <v>0</v>
      </c>
      <c r="L58" s="1">
        <v>2</v>
      </c>
      <c r="M58" s="1" t="s">
        <v>1663</v>
      </c>
      <c r="N58" s="1" t="s">
        <v>449</v>
      </c>
      <c r="O58" s="1" t="s">
        <v>1664</v>
      </c>
      <c r="P58" s="1" t="s">
        <v>1665</v>
      </c>
      <c r="Q58" s="1" t="s">
        <v>1666</v>
      </c>
      <c r="R58" s="1">
        <v>99</v>
      </c>
      <c r="S58" s="1">
        <v>6</v>
      </c>
      <c r="T58" s="1" t="s">
        <v>1669</v>
      </c>
      <c r="U58" s="1" t="str">
        <f>HYPERLINK("http://dx.doi.org/10.1007/s12594-022-2390-1","http://dx.doi.org/10.1007/s12594-022-2390-1")</f>
        <v>http://dx.doi.org/10.1007/s12594-022-2390-1</v>
      </c>
      <c r="V58" s="1">
        <v>13</v>
      </c>
      <c r="W58" s="1" t="s">
        <v>1670</v>
      </c>
      <c r="X58" s="1" t="s">
        <v>67</v>
      </c>
      <c r="Y58" s="1" t="s">
        <v>1671</v>
      </c>
      <c r="Z58" s="1" t="s">
        <v>48</v>
      </c>
      <c r="AA58" s="1" t="s">
        <v>48</v>
      </c>
    </row>
    <row r="59" spans="1:27" s="1" customFormat="1" ht="18.5" x14ac:dyDescent="0.45">
      <c r="A59" s="1" t="s">
        <v>1672</v>
      </c>
      <c r="B59" s="1" t="s">
        <v>1673</v>
      </c>
      <c r="C59" s="1" t="s">
        <v>1674</v>
      </c>
      <c r="D59" s="1" t="s">
        <v>585</v>
      </c>
      <c r="E59" s="2">
        <v>2023</v>
      </c>
      <c r="F59" s="1" t="s">
        <v>1675</v>
      </c>
      <c r="G59" s="1" t="s">
        <v>58</v>
      </c>
      <c r="H59" s="1" t="s">
        <v>1676</v>
      </c>
      <c r="I59" s="1">
        <v>15</v>
      </c>
      <c r="J59" s="1">
        <v>0</v>
      </c>
      <c r="K59" s="1">
        <v>1</v>
      </c>
      <c r="L59" s="1">
        <v>1</v>
      </c>
      <c r="M59" s="1" t="s">
        <v>530</v>
      </c>
      <c r="N59" s="1" t="s">
        <v>557</v>
      </c>
      <c r="O59" s="1" t="s">
        <v>1677</v>
      </c>
      <c r="P59" s="1" t="s">
        <v>48</v>
      </c>
      <c r="Q59" s="1" t="s">
        <v>48</v>
      </c>
      <c r="R59" s="1" t="s">
        <v>48</v>
      </c>
      <c r="S59" s="1" t="s">
        <v>48</v>
      </c>
      <c r="T59" s="1" t="s">
        <v>1678</v>
      </c>
      <c r="U59" s="1" t="str">
        <f>HYPERLINK("http://dx.doi.org/10.1108/978-1-83753-180-620231010","http://dx.doi.org/10.1108/978-1-83753-180-620231010")</f>
        <v>http://dx.doi.org/10.1108/978-1-83753-180-620231010</v>
      </c>
      <c r="V59" s="1">
        <v>12</v>
      </c>
      <c r="W59" s="1" t="s">
        <v>1679</v>
      </c>
      <c r="X59" s="1" t="s">
        <v>592</v>
      </c>
      <c r="Y59" s="1" t="s">
        <v>1679</v>
      </c>
      <c r="Z59" s="1" t="s">
        <v>48</v>
      </c>
      <c r="AA59" s="1" t="s">
        <v>48</v>
      </c>
    </row>
    <row r="60" spans="1:27" s="1" customFormat="1" ht="18.5" x14ac:dyDescent="0.45">
      <c r="A60" s="1" t="s">
        <v>1680</v>
      </c>
      <c r="B60" s="1" t="s">
        <v>1681</v>
      </c>
      <c r="C60" s="1" t="s">
        <v>1674</v>
      </c>
      <c r="D60" s="1" t="s">
        <v>585</v>
      </c>
      <c r="E60" s="2">
        <v>2023</v>
      </c>
      <c r="F60" s="1" t="s">
        <v>1682</v>
      </c>
      <c r="G60" s="1" t="s">
        <v>115</v>
      </c>
      <c r="H60" s="1" t="s">
        <v>1683</v>
      </c>
      <c r="I60" s="1">
        <v>23</v>
      </c>
      <c r="J60" s="1">
        <v>0</v>
      </c>
      <c r="K60" s="1">
        <v>2</v>
      </c>
      <c r="L60" s="1">
        <v>3</v>
      </c>
      <c r="M60" s="1" t="s">
        <v>530</v>
      </c>
      <c r="N60" s="1" t="s">
        <v>557</v>
      </c>
      <c r="O60" s="1" t="s">
        <v>1677</v>
      </c>
      <c r="P60" s="1" t="s">
        <v>48</v>
      </c>
      <c r="Q60" s="1" t="s">
        <v>48</v>
      </c>
      <c r="R60" s="1" t="s">
        <v>48</v>
      </c>
      <c r="S60" s="1" t="s">
        <v>48</v>
      </c>
      <c r="T60" s="1" t="s">
        <v>1684</v>
      </c>
      <c r="U60" s="1" t="str">
        <f>HYPERLINK("http://dx.doi.org/10.1108/978-1-83753-180-620231023","http://dx.doi.org/10.1108/978-1-83753-180-620231023")</f>
        <v>http://dx.doi.org/10.1108/978-1-83753-180-620231023</v>
      </c>
      <c r="V60" s="1">
        <v>13</v>
      </c>
      <c r="W60" s="1" t="s">
        <v>1679</v>
      </c>
      <c r="X60" s="1" t="s">
        <v>592</v>
      </c>
      <c r="Y60" s="1" t="s">
        <v>1679</v>
      </c>
      <c r="Z60" s="1" t="s">
        <v>48</v>
      </c>
      <c r="AA60" s="1" t="s">
        <v>48</v>
      </c>
    </row>
    <row r="61" spans="1:27" s="1" customFormat="1" ht="18.5" x14ac:dyDescent="0.45">
      <c r="A61" s="1" t="s">
        <v>1739</v>
      </c>
      <c r="B61" s="1" t="s">
        <v>1740</v>
      </c>
      <c r="C61" s="1" t="s">
        <v>1741</v>
      </c>
      <c r="D61" s="1" t="s">
        <v>53</v>
      </c>
      <c r="E61" s="2">
        <v>2023</v>
      </c>
      <c r="F61" s="1" t="s">
        <v>1742</v>
      </c>
      <c r="G61" s="1" t="s">
        <v>58</v>
      </c>
      <c r="H61" s="1" t="s">
        <v>131</v>
      </c>
      <c r="I61" s="1">
        <v>63</v>
      </c>
      <c r="J61" s="1">
        <v>13</v>
      </c>
      <c r="K61" s="1">
        <v>4</v>
      </c>
      <c r="L61" s="1">
        <v>19</v>
      </c>
      <c r="M61" s="1" t="s">
        <v>79</v>
      </c>
      <c r="N61" s="1" t="s">
        <v>80</v>
      </c>
      <c r="O61" s="1" t="s">
        <v>81</v>
      </c>
      <c r="P61" s="1" t="s">
        <v>1743</v>
      </c>
      <c r="Q61" s="1" t="s">
        <v>1744</v>
      </c>
      <c r="R61" s="1">
        <v>144</v>
      </c>
      <c r="S61" s="1" t="s">
        <v>48</v>
      </c>
      <c r="T61" s="1" t="s">
        <v>1745</v>
      </c>
      <c r="U61" s="1" t="str">
        <f>HYPERLINK("http://dx.doi.org/10.1016/j.asoc.2023.110515","http://dx.doi.org/10.1016/j.asoc.2023.110515")</f>
        <v>http://dx.doi.org/10.1016/j.asoc.2023.110515</v>
      </c>
      <c r="V61" s="1">
        <v>27</v>
      </c>
      <c r="W61" s="1" t="s">
        <v>1746</v>
      </c>
      <c r="X61" s="1" t="s">
        <v>67</v>
      </c>
      <c r="Y61" s="1" t="s">
        <v>292</v>
      </c>
      <c r="Z61" s="1" t="s">
        <v>48</v>
      </c>
      <c r="AA61" s="1" t="s">
        <v>48</v>
      </c>
    </row>
    <row r="62" spans="1:27" s="1" customFormat="1" ht="18.5" x14ac:dyDescent="0.45">
      <c r="A62" s="1" t="s">
        <v>1747</v>
      </c>
      <c r="B62" s="1" t="s">
        <v>1748</v>
      </c>
      <c r="C62" s="1" t="s">
        <v>1749</v>
      </c>
      <c r="D62" s="1" t="s">
        <v>1114</v>
      </c>
      <c r="E62" s="2">
        <v>2023</v>
      </c>
      <c r="F62" s="1" t="s">
        <v>1750</v>
      </c>
      <c r="G62" s="1" t="s">
        <v>58</v>
      </c>
      <c r="H62" s="1" t="s">
        <v>1654</v>
      </c>
      <c r="I62" s="1">
        <v>67</v>
      </c>
      <c r="J62" s="1">
        <v>25</v>
      </c>
      <c r="K62" s="1">
        <v>1</v>
      </c>
      <c r="L62" s="1">
        <v>7</v>
      </c>
      <c r="M62" s="1" t="s">
        <v>1751</v>
      </c>
      <c r="N62" s="1" t="s">
        <v>1752</v>
      </c>
      <c r="O62" s="1" t="s">
        <v>1753</v>
      </c>
      <c r="P62" s="1" t="s">
        <v>1754</v>
      </c>
      <c r="Q62" s="1" t="s">
        <v>1755</v>
      </c>
      <c r="R62" s="1">
        <v>53</v>
      </c>
      <c r="S62" s="1">
        <v>1</v>
      </c>
      <c r="T62" s="1" t="s">
        <v>1756</v>
      </c>
      <c r="U62" s="1" t="str">
        <f>HYPERLINK("http://dx.doi.org/10.1016/j.idnow.2022.09.023","http://dx.doi.org/10.1016/j.idnow.2022.09.023")</f>
        <v>http://dx.doi.org/10.1016/j.idnow.2022.09.023</v>
      </c>
      <c r="V62" s="1">
        <v>10</v>
      </c>
      <c r="W62" s="1" t="s">
        <v>1757</v>
      </c>
      <c r="X62" s="1" t="s">
        <v>67</v>
      </c>
      <c r="Y62" s="1" t="s">
        <v>1757</v>
      </c>
      <c r="Z62" s="1">
        <v>36241158</v>
      </c>
      <c r="AA62" s="1" t="s">
        <v>550</v>
      </c>
    </row>
    <row r="63" spans="1:27" s="1" customFormat="1" ht="18.5" x14ac:dyDescent="0.45">
      <c r="A63" s="1" t="s">
        <v>248</v>
      </c>
      <c r="B63" s="1" t="s">
        <v>1791</v>
      </c>
      <c r="C63" s="1" t="s">
        <v>1792</v>
      </c>
      <c r="D63" s="1" t="s">
        <v>53</v>
      </c>
      <c r="E63" s="2">
        <v>2023</v>
      </c>
      <c r="F63" s="1" t="s">
        <v>1793</v>
      </c>
      <c r="G63" s="1" t="s">
        <v>58</v>
      </c>
      <c r="H63" s="1" t="s">
        <v>1379</v>
      </c>
      <c r="I63" s="1">
        <v>40</v>
      </c>
      <c r="J63" s="1">
        <v>8</v>
      </c>
      <c r="K63" s="1">
        <v>2</v>
      </c>
      <c r="L63" s="1">
        <v>2</v>
      </c>
      <c r="M63" s="1" t="s">
        <v>1523</v>
      </c>
      <c r="N63" s="1" t="s">
        <v>632</v>
      </c>
      <c r="O63" s="1" t="s">
        <v>1524</v>
      </c>
      <c r="P63" s="1" t="s">
        <v>1794</v>
      </c>
      <c r="Q63" s="1" t="s">
        <v>1795</v>
      </c>
      <c r="R63" s="1">
        <v>11</v>
      </c>
      <c r="S63" s="1">
        <v>1</v>
      </c>
      <c r="T63" s="1" t="s">
        <v>1796</v>
      </c>
      <c r="U63" s="1" t="str">
        <f>HYPERLINK("http://dx.doi.org/10.1007/s40435-022-00970-0","http://dx.doi.org/10.1007/s40435-022-00970-0")</f>
        <v>http://dx.doi.org/10.1007/s40435-022-00970-0</v>
      </c>
      <c r="V63" s="1">
        <v>16</v>
      </c>
      <c r="W63" s="1" t="s">
        <v>1797</v>
      </c>
      <c r="X63" s="1" t="s">
        <v>124</v>
      </c>
      <c r="Y63" s="1" t="s">
        <v>1798</v>
      </c>
      <c r="Z63" s="1" t="s">
        <v>48</v>
      </c>
      <c r="AA63" s="1" t="s">
        <v>48</v>
      </c>
    </row>
    <row r="64" spans="1:27" s="1" customFormat="1" ht="18.5" x14ac:dyDescent="0.45">
      <c r="A64" s="1" t="s">
        <v>1799</v>
      </c>
      <c r="B64" s="1" t="s">
        <v>1800</v>
      </c>
      <c r="C64" s="1" t="s">
        <v>1801</v>
      </c>
      <c r="D64" s="1" t="s">
        <v>1802</v>
      </c>
      <c r="E64" s="2">
        <v>2023</v>
      </c>
      <c r="F64" s="1" t="s">
        <v>1803</v>
      </c>
      <c r="G64" s="1" t="s">
        <v>58</v>
      </c>
      <c r="H64" s="1" t="s">
        <v>1804</v>
      </c>
      <c r="I64" s="1">
        <v>11</v>
      </c>
      <c r="J64" s="1">
        <v>0</v>
      </c>
      <c r="K64" s="1">
        <v>0</v>
      </c>
      <c r="L64" s="1">
        <v>0</v>
      </c>
      <c r="M64" s="1" t="s">
        <v>1805</v>
      </c>
      <c r="N64" s="1" t="s">
        <v>146</v>
      </c>
      <c r="O64" s="1" t="s">
        <v>1806</v>
      </c>
      <c r="P64" s="1" t="s">
        <v>48</v>
      </c>
      <c r="Q64" s="1" t="s">
        <v>48</v>
      </c>
      <c r="R64" s="1" t="s">
        <v>48</v>
      </c>
      <c r="S64" s="1" t="s">
        <v>48</v>
      </c>
      <c r="T64" s="1" t="s">
        <v>1807</v>
      </c>
      <c r="U64" s="1" t="str">
        <f>HYPERLINK("http://dx.doi.org/10.4324/9781003245797-1","http://dx.doi.org/10.4324/9781003245797-1")</f>
        <v>http://dx.doi.org/10.4324/9781003245797-1</v>
      </c>
      <c r="V64" s="1">
        <v>8</v>
      </c>
      <c r="W64" s="1" t="s">
        <v>1808</v>
      </c>
      <c r="X64" s="1" t="s">
        <v>592</v>
      </c>
      <c r="Y64" s="1" t="s">
        <v>1809</v>
      </c>
      <c r="Z64" s="1" t="s">
        <v>48</v>
      </c>
      <c r="AA64" s="1" t="s">
        <v>48</v>
      </c>
    </row>
    <row r="65" spans="1:27" s="1" customFormat="1" ht="18.5" x14ac:dyDescent="0.45">
      <c r="A65" s="1" t="s">
        <v>1819</v>
      </c>
      <c r="B65" s="1" t="s">
        <v>1820</v>
      </c>
      <c r="C65" s="1" t="s">
        <v>1030</v>
      </c>
      <c r="D65" s="1" t="s">
        <v>53</v>
      </c>
      <c r="E65" s="2">
        <v>2023</v>
      </c>
      <c r="F65" s="1" t="s">
        <v>1821</v>
      </c>
      <c r="G65" s="1" t="s">
        <v>58</v>
      </c>
      <c r="H65" s="1" t="s">
        <v>131</v>
      </c>
      <c r="I65" s="1">
        <v>45</v>
      </c>
      <c r="J65" s="1">
        <v>17</v>
      </c>
      <c r="K65" s="1">
        <v>0</v>
      </c>
      <c r="L65" s="1">
        <v>4</v>
      </c>
      <c r="M65" s="1" t="s">
        <v>252</v>
      </c>
      <c r="N65" s="1" t="s">
        <v>253</v>
      </c>
      <c r="O65" s="1" t="s">
        <v>254</v>
      </c>
      <c r="P65" s="1" t="s">
        <v>1036</v>
      </c>
      <c r="Q65" s="1" t="s">
        <v>1037</v>
      </c>
      <c r="R65" s="1">
        <v>69</v>
      </c>
      <c r="S65" s="1">
        <v>1</v>
      </c>
      <c r="T65" s="1" t="s">
        <v>1822</v>
      </c>
      <c r="U65" s="1" t="str">
        <f>HYPERLINK("http://dx.doi.org/10.1007/s12190-022-01748-5","http://dx.doi.org/10.1007/s12190-022-01748-5")</f>
        <v>http://dx.doi.org/10.1007/s12190-022-01748-5</v>
      </c>
      <c r="V65" s="1">
        <v>33</v>
      </c>
      <c r="W65" s="1" t="s">
        <v>1041</v>
      </c>
      <c r="X65" s="1" t="s">
        <v>67</v>
      </c>
      <c r="Y65" s="1" t="s">
        <v>137</v>
      </c>
      <c r="Z65" s="1">
        <v>35607521</v>
      </c>
      <c r="AA65" s="1" t="s">
        <v>1325</v>
      </c>
    </row>
    <row r="66" spans="1:27" s="1" customFormat="1" ht="18.5" x14ac:dyDescent="0.45">
      <c r="A66" s="1" t="s">
        <v>1864</v>
      </c>
      <c r="B66" s="1" t="s">
        <v>1865</v>
      </c>
      <c r="C66" s="1" t="s">
        <v>697</v>
      </c>
      <c r="D66" s="1" t="s">
        <v>53</v>
      </c>
      <c r="E66" s="2">
        <v>2023</v>
      </c>
      <c r="F66" s="1" t="s">
        <v>1866</v>
      </c>
      <c r="G66" s="1" t="s">
        <v>77</v>
      </c>
      <c r="H66" s="1" t="s">
        <v>702</v>
      </c>
      <c r="I66" s="1">
        <v>69</v>
      </c>
      <c r="J66" s="1">
        <v>6</v>
      </c>
      <c r="K66" s="1">
        <v>4</v>
      </c>
      <c r="L66" s="1">
        <v>10</v>
      </c>
      <c r="M66" s="1" t="s">
        <v>347</v>
      </c>
      <c r="N66" s="1" t="s">
        <v>348</v>
      </c>
      <c r="O66" s="1" t="s">
        <v>349</v>
      </c>
      <c r="P66" s="1" t="s">
        <v>703</v>
      </c>
      <c r="Q66" s="1" t="s">
        <v>704</v>
      </c>
      <c r="R66" s="1">
        <v>31</v>
      </c>
      <c r="S66" s="1">
        <v>4</v>
      </c>
      <c r="T66" s="1" t="s">
        <v>1867</v>
      </c>
      <c r="U66" s="1" t="str">
        <f>HYPERLINK("http://dx.doi.org/10.1002/sd.2549","http://dx.doi.org/10.1002/sd.2549")</f>
        <v>http://dx.doi.org/10.1002/sd.2549</v>
      </c>
      <c r="V66" s="1">
        <v>12</v>
      </c>
      <c r="W66" s="1" t="s">
        <v>706</v>
      </c>
      <c r="X66" s="1" t="s">
        <v>106</v>
      </c>
      <c r="Y66" s="1" t="s">
        <v>707</v>
      </c>
      <c r="Z66" s="1" t="s">
        <v>48</v>
      </c>
      <c r="AA66" s="1" t="s">
        <v>48</v>
      </c>
    </row>
    <row r="67" spans="1:27" s="1" customFormat="1" ht="18.5" x14ac:dyDescent="0.45">
      <c r="A67" s="1" t="s">
        <v>1868</v>
      </c>
      <c r="B67" s="1" t="s">
        <v>1869</v>
      </c>
      <c r="C67" s="1" t="s">
        <v>1870</v>
      </c>
      <c r="D67" s="1" t="s">
        <v>53</v>
      </c>
      <c r="E67" s="2">
        <v>2023</v>
      </c>
      <c r="F67" s="1" t="s">
        <v>1871</v>
      </c>
      <c r="G67" s="1" t="s">
        <v>58</v>
      </c>
      <c r="H67" s="1" t="s">
        <v>1872</v>
      </c>
      <c r="I67" s="1">
        <v>57</v>
      </c>
      <c r="J67" s="1">
        <v>18</v>
      </c>
      <c r="K67" s="1">
        <v>1</v>
      </c>
      <c r="L67" s="1">
        <v>25</v>
      </c>
      <c r="M67" s="1" t="s">
        <v>448</v>
      </c>
      <c r="N67" s="1" t="s">
        <v>449</v>
      </c>
      <c r="O67" s="1" t="s">
        <v>450</v>
      </c>
      <c r="P67" s="1" t="s">
        <v>1873</v>
      </c>
      <c r="Q67" s="1" t="s">
        <v>1874</v>
      </c>
      <c r="R67" s="1">
        <v>46</v>
      </c>
      <c r="S67" s="1">
        <v>1</v>
      </c>
      <c r="T67" s="1" t="s">
        <v>1875</v>
      </c>
      <c r="U67" s="1" t="str">
        <f>HYPERLINK("http://dx.doi.org/10.1007/s12034-022-02852-9","http://dx.doi.org/10.1007/s12034-022-02852-9")</f>
        <v>http://dx.doi.org/10.1007/s12034-022-02852-9</v>
      </c>
      <c r="V67" s="1">
        <v>10</v>
      </c>
      <c r="W67" s="1" t="s">
        <v>1876</v>
      </c>
      <c r="X67" s="1" t="s">
        <v>67</v>
      </c>
      <c r="Y67" s="1" t="s">
        <v>1877</v>
      </c>
      <c r="Z67" s="1" t="s">
        <v>48</v>
      </c>
      <c r="AA67" s="1" t="s">
        <v>48</v>
      </c>
    </row>
    <row r="68" spans="1:27" s="1" customFormat="1" ht="18.5" x14ac:dyDescent="0.45">
      <c r="A68" s="1" t="s">
        <v>1914</v>
      </c>
      <c r="B68" s="1" t="s">
        <v>1915</v>
      </c>
      <c r="C68" s="1" t="s">
        <v>1916</v>
      </c>
      <c r="D68" s="1" t="s">
        <v>585</v>
      </c>
      <c r="E68" s="2">
        <v>2023</v>
      </c>
      <c r="F68" s="1" t="s">
        <v>1917</v>
      </c>
      <c r="G68" s="1" t="s">
        <v>58</v>
      </c>
      <c r="H68" s="1" t="s">
        <v>1918</v>
      </c>
      <c r="I68" s="1">
        <v>31</v>
      </c>
      <c r="J68" s="1">
        <v>0</v>
      </c>
      <c r="K68" s="1">
        <v>0</v>
      </c>
      <c r="L68" s="1">
        <v>0</v>
      </c>
      <c r="M68" s="1" t="s">
        <v>1919</v>
      </c>
      <c r="N68" s="1" t="s">
        <v>133</v>
      </c>
      <c r="O68" s="1" t="s">
        <v>1920</v>
      </c>
      <c r="P68" s="1" t="s">
        <v>1921</v>
      </c>
      <c r="Q68" s="1" t="s">
        <v>1922</v>
      </c>
      <c r="R68" s="1" t="s">
        <v>48</v>
      </c>
      <c r="S68" s="1" t="s">
        <v>48</v>
      </c>
      <c r="T68" s="1" t="s">
        <v>1923</v>
      </c>
      <c r="U68" s="1" t="str">
        <f>HYPERLINK("http://dx.doi.org/10.1007/978-3-031-21086-015","http://dx.doi.org/10.1007/978-3-031-21086-015")</f>
        <v>http://dx.doi.org/10.1007/978-3-031-21086-015</v>
      </c>
      <c r="V68" s="1">
        <v>20</v>
      </c>
      <c r="W68" s="1" t="s">
        <v>1924</v>
      </c>
      <c r="X68" s="1" t="s">
        <v>1925</v>
      </c>
      <c r="Y68" s="1" t="s">
        <v>1926</v>
      </c>
      <c r="Z68" s="1" t="s">
        <v>48</v>
      </c>
      <c r="AA68" s="1" t="s">
        <v>48</v>
      </c>
    </row>
    <row r="69" spans="1:27" s="1" customFormat="1" ht="18.5" x14ac:dyDescent="0.45">
      <c r="A69" s="1" t="s">
        <v>1799</v>
      </c>
      <c r="B69" s="1" t="s">
        <v>1927</v>
      </c>
      <c r="C69" s="1" t="s">
        <v>1801</v>
      </c>
      <c r="D69" s="1" t="s">
        <v>1802</v>
      </c>
      <c r="E69" s="2">
        <v>2023</v>
      </c>
      <c r="F69" s="1" t="s">
        <v>1803</v>
      </c>
      <c r="G69" s="1" t="s">
        <v>58</v>
      </c>
      <c r="H69" s="1" t="s">
        <v>1804</v>
      </c>
      <c r="I69" s="1">
        <v>0</v>
      </c>
      <c r="J69" s="1">
        <v>0</v>
      </c>
      <c r="K69" s="1">
        <v>0</v>
      </c>
      <c r="L69" s="1">
        <v>0</v>
      </c>
      <c r="M69" s="1" t="s">
        <v>1805</v>
      </c>
      <c r="N69" s="1" t="s">
        <v>146</v>
      </c>
      <c r="O69" s="1" t="s">
        <v>1806</v>
      </c>
      <c r="P69" s="1" t="s">
        <v>48</v>
      </c>
      <c r="Q69" s="1" t="s">
        <v>48</v>
      </c>
      <c r="R69" s="1" t="s">
        <v>48</v>
      </c>
      <c r="S69" s="1" t="s">
        <v>48</v>
      </c>
      <c r="T69" s="1" t="s">
        <v>48</v>
      </c>
      <c r="U69" s="1" t="s">
        <v>48</v>
      </c>
      <c r="V69" s="1">
        <v>2</v>
      </c>
      <c r="W69" s="1" t="s">
        <v>1808</v>
      </c>
      <c r="X69" s="1" t="s">
        <v>592</v>
      </c>
      <c r="Y69" s="1" t="s">
        <v>1809</v>
      </c>
      <c r="Z69" s="1" t="s">
        <v>48</v>
      </c>
      <c r="AA69" s="1" t="s">
        <v>48</v>
      </c>
    </row>
    <row r="70" spans="1:27" s="1" customFormat="1" ht="18.5" x14ac:dyDescent="0.45">
      <c r="A70" s="1" t="s">
        <v>367</v>
      </c>
      <c r="B70" s="1" t="s">
        <v>1928</v>
      </c>
      <c r="C70" s="1" t="s">
        <v>369</v>
      </c>
      <c r="D70" s="1" t="s">
        <v>53</v>
      </c>
      <c r="E70" s="2">
        <v>2023</v>
      </c>
      <c r="F70" s="1" t="s">
        <v>370</v>
      </c>
      <c r="G70" s="1" t="s">
        <v>58</v>
      </c>
      <c r="H70" s="1" t="s">
        <v>1929</v>
      </c>
      <c r="I70" s="1">
        <v>39</v>
      </c>
      <c r="J70" s="1">
        <v>0</v>
      </c>
      <c r="K70" s="1">
        <v>0</v>
      </c>
      <c r="L70" s="1">
        <v>0</v>
      </c>
      <c r="M70" s="1" t="s">
        <v>371</v>
      </c>
      <c r="N70" s="1" t="s">
        <v>372</v>
      </c>
      <c r="O70" s="1" t="s">
        <v>373</v>
      </c>
      <c r="P70" s="1" t="s">
        <v>374</v>
      </c>
      <c r="Q70" s="1" t="s">
        <v>48</v>
      </c>
      <c r="R70" s="1">
        <v>13</v>
      </c>
      <c r="S70" s="1">
        <v>3</v>
      </c>
      <c r="T70" s="1" t="s">
        <v>48</v>
      </c>
      <c r="U70" s="1" t="s">
        <v>48</v>
      </c>
      <c r="V70" s="1">
        <v>14</v>
      </c>
      <c r="W70" s="1" t="s">
        <v>260</v>
      </c>
      <c r="X70" s="1" t="s">
        <v>124</v>
      </c>
      <c r="Y70" s="1" t="s">
        <v>137</v>
      </c>
      <c r="Z70" s="1" t="s">
        <v>48</v>
      </c>
      <c r="AA70" s="1" t="s">
        <v>48</v>
      </c>
    </row>
    <row r="71" spans="1:27" s="1" customFormat="1" ht="18.5" x14ac:dyDescent="0.45">
      <c r="A71" s="1" t="s">
        <v>1819</v>
      </c>
      <c r="B71" s="1" t="s">
        <v>1930</v>
      </c>
      <c r="C71" s="1" t="s">
        <v>1931</v>
      </c>
      <c r="D71" s="1" t="s">
        <v>53</v>
      </c>
      <c r="E71" s="2">
        <v>2023</v>
      </c>
      <c r="F71" s="1" t="s">
        <v>1821</v>
      </c>
      <c r="G71" s="1" t="s">
        <v>58</v>
      </c>
      <c r="H71" s="1" t="s">
        <v>131</v>
      </c>
      <c r="I71" s="1">
        <v>38</v>
      </c>
      <c r="J71" s="1">
        <v>12</v>
      </c>
      <c r="K71" s="1">
        <v>0</v>
      </c>
      <c r="L71" s="1">
        <v>3</v>
      </c>
      <c r="M71" s="1" t="s">
        <v>252</v>
      </c>
      <c r="N71" s="1" t="s">
        <v>253</v>
      </c>
      <c r="O71" s="1" t="s">
        <v>254</v>
      </c>
      <c r="P71" s="1" t="s">
        <v>1932</v>
      </c>
      <c r="Q71" s="1" t="s">
        <v>1933</v>
      </c>
      <c r="R71" s="1">
        <v>9</v>
      </c>
      <c r="S71" s="1">
        <v>2</v>
      </c>
      <c r="T71" s="1" t="s">
        <v>1936</v>
      </c>
      <c r="U71" s="1" t="str">
        <f>HYPERLINK("http://dx.doi.org/10.1007/s40747-022-00896-2","http://dx.doi.org/10.1007/s40747-022-00896-2")</f>
        <v>http://dx.doi.org/10.1007/s40747-022-00896-2</v>
      </c>
      <c r="V71" s="1">
        <v>21</v>
      </c>
      <c r="W71" s="1" t="s">
        <v>549</v>
      </c>
      <c r="X71" s="1" t="s">
        <v>67</v>
      </c>
      <c r="Y71" s="1" t="s">
        <v>292</v>
      </c>
      <c r="Z71" s="1" t="s">
        <v>48</v>
      </c>
      <c r="AA71" s="1" t="s">
        <v>125</v>
      </c>
    </row>
    <row r="72" spans="1:27" s="1" customFormat="1" ht="18.5" x14ac:dyDescent="0.45">
      <c r="A72" s="1" t="s">
        <v>1992</v>
      </c>
      <c r="B72" s="1" t="s">
        <v>1993</v>
      </c>
      <c r="C72" s="1" t="s">
        <v>1994</v>
      </c>
      <c r="D72" s="1" t="s">
        <v>53</v>
      </c>
      <c r="E72" s="2">
        <v>2023</v>
      </c>
      <c r="F72" s="1" t="s">
        <v>1995</v>
      </c>
      <c r="G72" s="1" t="s">
        <v>58</v>
      </c>
      <c r="H72" s="1" t="s">
        <v>1480</v>
      </c>
      <c r="I72" s="1">
        <v>71</v>
      </c>
      <c r="J72" s="1">
        <v>8</v>
      </c>
      <c r="K72" s="1">
        <v>1</v>
      </c>
      <c r="L72" s="1">
        <v>7</v>
      </c>
      <c r="M72" s="1" t="s">
        <v>347</v>
      </c>
      <c r="N72" s="1" t="s">
        <v>348</v>
      </c>
      <c r="O72" s="1" t="s">
        <v>349</v>
      </c>
      <c r="P72" s="1" t="s">
        <v>1996</v>
      </c>
      <c r="Q72" s="1" t="s">
        <v>1997</v>
      </c>
      <c r="R72" s="1">
        <v>52</v>
      </c>
      <c r="S72" s="1">
        <v>3</v>
      </c>
      <c r="T72" s="1" t="s">
        <v>1998</v>
      </c>
      <c r="U72" s="1" t="str">
        <f>HYPERLINK("http://dx.doi.org/10.1111/ecno.12227","http://dx.doi.org/10.1111/ecno.12227")</f>
        <v>http://dx.doi.org/10.1111/ecno.12227</v>
      </c>
      <c r="V72" s="1">
        <v>25</v>
      </c>
      <c r="W72" s="1" t="s">
        <v>509</v>
      </c>
      <c r="X72" s="1" t="s">
        <v>124</v>
      </c>
      <c r="Y72" s="1" t="s">
        <v>510</v>
      </c>
      <c r="Z72" s="1" t="s">
        <v>48</v>
      </c>
      <c r="AA72" s="1" t="s">
        <v>48</v>
      </c>
    </row>
    <row r="73" spans="1:27" s="1" customFormat="1" ht="18.5" x14ac:dyDescent="0.45">
      <c r="A73" s="1" t="s">
        <v>2048</v>
      </c>
      <c r="B73" s="1" t="s">
        <v>2049</v>
      </c>
      <c r="C73" s="1" t="s">
        <v>2050</v>
      </c>
      <c r="D73" s="1" t="s">
        <v>53</v>
      </c>
      <c r="E73" s="2">
        <v>2023</v>
      </c>
      <c r="F73" s="1" t="s">
        <v>2051</v>
      </c>
      <c r="G73" s="1" t="s">
        <v>2052</v>
      </c>
      <c r="H73" s="1" t="s">
        <v>2053</v>
      </c>
      <c r="I73" s="1">
        <v>80</v>
      </c>
      <c r="J73" s="1">
        <v>0</v>
      </c>
      <c r="K73" s="1">
        <v>0</v>
      </c>
      <c r="L73" s="1">
        <v>2</v>
      </c>
      <c r="M73" s="1" t="s">
        <v>2054</v>
      </c>
      <c r="N73" s="1" t="s">
        <v>2055</v>
      </c>
      <c r="O73" s="1" t="s">
        <v>2056</v>
      </c>
      <c r="P73" s="1" t="s">
        <v>2057</v>
      </c>
      <c r="Q73" s="1" t="s">
        <v>2058</v>
      </c>
      <c r="R73" s="1">
        <v>77</v>
      </c>
      <c r="S73" s="1" t="s">
        <v>48</v>
      </c>
      <c r="T73" s="1" t="s">
        <v>2059</v>
      </c>
      <c r="U73" s="1" t="str">
        <f>HYPERLINK("http://dx.doi.org/10.1016/j.jtemb.2023.127133","http://dx.doi.org/10.1016/j.jtemb.2023.127133")</f>
        <v>http://dx.doi.org/10.1016/j.jtemb.2023.127133</v>
      </c>
      <c r="V73" s="1">
        <v>13</v>
      </c>
      <c r="W73" s="1" t="s">
        <v>2060</v>
      </c>
      <c r="X73" s="1" t="s">
        <v>67</v>
      </c>
      <c r="Y73" s="1" t="s">
        <v>2060</v>
      </c>
      <c r="Z73" s="1">
        <v>36638706</v>
      </c>
      <c r="AA73" s="1" t="s">
        <v>48</v>
      </c>
    </row>
    <row r="74" spans="1:27" s="1" customFormat="1" ht="18.5" x14ac:dyDescent="0.45">
      <c r="A74" s="1" t="s">
        <v>1426</v>
      </c>
      <c r="B74" s="1" t="s">
        <v>2061</v>
      </c>
      <c r="C74" s="1" t="s">
        <v>369</v>
      </c>
      <c r="D74" s="1" t="s">
        <v>53</v>
      </c>
      <c r="E74" s="2">
        <v>2023</v>
      </c>
      <c r="F74" s="1" t="s">
        <v>1429</v>
      </c>
      <c r="G74" s="1" t="s">
        <v>58</v>
      </c>
      <c r="H74" s="1" t="s">
        <v>1292</v>
      </c>
      <c r="I74" s="1">
        <v>36</v>
      </c>
      <c r="J74" s="1">
        <v>7</v>
      </c>
      <c r="K74" s="1">
        <v>1</v>
      </c>
      <c r="L74" s="1">
        <v>2</v>
      </c>
      <c r="M74" s="1" t="s">
        <v>371</v>
      </c>
      <c r="N74" s="1" t="s">
        <v>372</v>
      </c>
      <c r="O74" s="1" t="s">
        <v>373</v>
      </c>
      <c r="P74" s="1" t="s">
        <v>374</v>
      </c>
      <c r="Q74" s="1" t="s">
        <v>48</v>
      </c>
      <c r="R74" s="1">
        <v>13</v>
      </c>
      <c r="S74" s="1">
        <v>3</v>
      </c>
      <c r="T74" s="1" t="s">
        <v>48</v>
      </c>
      <c r="U74" s="1" t="s">
        <v>48</v>
      </c>
      <c r="V74" s="1">
        <v>17</v>
      </c>
      <c r="W74" s="1" t="s">
        <v>260</v>
      </c>
      <c r="X74" s="1" t="s">
        <v>124</v>
      </c>
      <c r="Y74" s="1" t="s">
        <v>137</v>
      </c>
      <c r="Z74" s="1" t="s">
        <v>48</v>
      </c>
      <c r="AA74" s="1" t="s">
        <v>48</v>
      </c>
    </row>
    <row r="75" spans="1:27" s="1" customFormat="1" ht="18.5" x14ac:dyDescent="0.45">
      <c r="A75" s="1" t="s">
        <v>325</v>
      </c>
      <c r="B75" s="1" t="s">
        <v>2068</v>
      </c>
      <c r="C75" s="1" t="s">
        <v>2069</v>
      </c>
      <c r="D75" s="1" t="s">
        <v>53</v>
      </c>
      <c r="E75" s="2">
        <v>2023</v>
      </c>
      <c r="F75" s="1" t="s">
        <v>2070</v>
      </c>
      <c r="G75" s="1" t="s">
        <v>115</v>
      </c>
      <c r="H75" s="1" t="s">
        <v>409</v>
      </c>
      <c r="I75" s="1">
        <v>53</v>
      </c>
      <c r="J75" s="1">
        <v>5</v>
      </c>
      <c r="K75" s="1">
        <v>2</v>
      </c>
      <c r="L75" s="1">
        <v>10</v>
      </c>
      <c r="M75" s="1" t="s">
        <v>503</v>
      </c>
      <c r="N75" s="1" t="s">
        <v>504</v>
      </c>
      <c r="O75" s="1" t="s">
        <v>505</v>
      </c>
      <c r="P75" s="1" t="s">
        <v>2071</v>
      </c>
      <c r="Q75" s="1" t="s">
        <v>2072</v>
      </c>
      <c r="R75" s="1">
        <v>205</v>
      </c>
      <c r="S75" s="1">
        <v>8</v>
      </c>
      <c r="T75" s="1" t="s">
        <v>2073</v>
      </c>
      <c r="U75" s="1" t="str">
        <f>HYPERLINK("http://dx.doi.org/10.1007/s00203-023-03620-x","http://dx.doi.org/10.1007/s00203-023-03620-x")</f>
        <v>http://dx.doi.org/10.1007/s00203-023-03620-x</v>
      </c>
      <c r="V75" s="1">
        <v>17</v>
      </c>
      <c r="W75" s="1" t="s">
        <v>824</v>
      </c>
      <c r="X75" s="1" t="s">
        <v>67</v>
      </c>
      <c r="Y75" s="1" t="s">
        <v>824</v>
      </c>
      <c r="Z75" s="1">
        <v>37438600</v>
      </c>
      <c r="AA75" s="1" t="s">
        <v>2074</v>
      </c>
    </row>
    <row r="76" spans="1:27" s="1" customFormat="1" ht="18.5" x14ac:dyDescent="0.45">
      <c r="A76" s="1" t="s">
        <v>2080</v>
      </c>
      <c r="B76" s="1" t="s">
        <v>2081</v>
      </c>
      <c r="C76" s="1" t="s">
        <v>2082</v>
      </c>
      <c r="D76" s="1" t="s">
        <v>53</v>
      </c>
      <c r="E76" s="2">
        <v>2023</v>
      </c>
      <c r="F76" s="1" t="s">
        <v>2083</v>
      </c>
      <c r="G76" s="1" t="s">
        <v>115</v>
      </c>
      <c r="H76" s="1" t="s">
        <v>2084</v>
      </c>
      <c r="I76" s="1">
        <v>77</v>
      </c>
      <c r="J76" s="1">
        <v>11</v>
      </c>
      <c r="K76" s="1">
        <v>2</v>
      </c>
      <c r="L76" s="1">
        <v>11</v>
      </c>
      <c r="M76" s="1" t="s">
        <v>79</v>
      </c>
      <c r="N76" s="1" t="s">
        <v>80</v>
      </c>
      <c r="O76" s="1" t="s">
        <v>81</v>
      </c>
      <c r="P76" s="1" t="s">
        <v>2085</v>
      </c>
      <c r="Q76" s="1" t="s">
        <v>48</v>
      </c>
      <c r="R76" s="1">
        <v>49</v>
      </c>
      <c r="S76" s="1" t="s">
        <v>48</v>
      </c>
      <c r="T76" s="1" t="s">
        <v>2088</v>
      </c>
      <c r="U76" s="1" t="str">
        <f>HYPERLINK("http://dx.doi.org/10.1016/j.uclim.2023.101473","http://dx.doi.org/10.1016/j.uclim.2023.101473")</f>
        <v>http://dx.doi.org/10.1016/j.uclim.2023.101473</v>
      </c>
      <c r="V76" s="1">
        <v>20</v>
      </c>
      <c r="W76" s="1" t="s">
        <v>2089</v>
      </c>
      <c r="X76" s="1" t="s">
        <v>67</v>
      </c>
      <c r="Y76" s="1" t="s">
        <v>2090</v>
      </c>
      <c r="Z76" s="1" t="s">
        <v>48</v>
      </c>
      <c r="AA76" s="1" t="s">
        <v>48</v>
      </c>
    </row>
    <row r="77" spans="1:27" s="1" customFormat="1" ht="18.5" x14ac:dyDescent="0.45">
      <c r="A77" s="1" t="s">
        <v>2107</v>
      </c>
      <c r="B77" s="1" t="s">
        <v>2108</v>
      </c>
      <c r="C77" s="1" t="s">
        <v>1307</v>
      </c>
      <c r="D77" s="1" t="s">
        <v>94</v>
      </c>
      <c r="E77" s="2">
        <v>2023</v>
      </c>
      <c r="F77" s="1" t="s">
        <v>2109</v>
      </c>
      <c r="G77" s="1" t="s">
        <v>58</v>
      </c>
      <c r="H77" s="1" t="s">
        <v>2110</v>
      </c>
      <c r="I77" s="1">
        <v>1</v>
      </c>
      <c r="J77" s="1">
        <v>0</v>
      </c>
      <c r="K77" s="1">
        <v>0</v>
      </c>
      <c r="L77" s="1">
        <v>0</v>
      </c>
      <c r="M77" s="1" t="s">
        <v>98</v>
      </c>
      <c r="N77" s="1" t="s">
        <v>99</v>
      </c>
      <c r="O77" s="1" t="s">
        <v>100</v>
      </c>
      <c r="P77" s="1" t="s">
        <v>1311</v>
      </c>
      <c r="Q77" s="1" t="s">
        <v>1312</v>
      </c>
      <c r="R77" s="1">
        <v>15</v>
      </c>
      <c r="S77" s="1" t="s">
        <v>2111</v>
      </c>
      <c r="T77" s="1" t="s">
        <v>2112</v>
      </c>
      <c r="U77" s="1" t="str">
        <f>HYPERLINK("http://dx.doi.org/10.1177/2455328X221115590","http://dx.doi.org/10.1177/2455328X221115590")</f>
        <v>http://dx.doi.org/10.1177/2455328X221115590</v>
      </c>
      <c r="V77" s="1">
        <v>3</v>
      </c>
      <c r="W77" s="1" t="s">
        <v>460</v>
      </c>
      <c r="X77" s="1" t="s">
        <v>124</v>
      </c>
      <c r="Y77" s="1" t="s">
        <v>461</v>
      </c>
      <c r="Z77" s="1" t="s">
        <v>48</v>
      </c>
      <c r="AA77" s="1" t="s">
        <v>48</v>
      </c>
    </row>
    <row r="78" spans="1:27" s="1" customFormat="1" ht="18.5" x14ac:dyDescent="0.45">
      <c r="A78" s="1" t="s">
        <v>2184</v>
      </c>
      <c r="B78" s="1" t="s">
        <v>2185</v>
      </c>
      <c r="C78" s="1" t="s">
        <v>1741</v>
      </c>
      <c r="D78" s="1" t="s">
        <v>53</v>
      </c>
      <c r="E78" s="2">
        <v>2023</v>
      </c>
      <c r="F78" s="1" t="s">
        <v>2186</v>
      </c>
      <c r="G78" s="1" t="s">
        <v>58</v>
      </c>
      <c r="H78" s="1" t="s">
        <v>227</v>
      </c>
      <c r="I78" s="1">
        <v>42</v>
      </c>
      <c r="J78" s="1">
        <v>14</v>
      </c>
      <c r="K78" s="1">
        <v>1</v>
      </c>
      <c r="L78" s="1">
        <v>10</v>
      </c>
      <c r="M78" s="1" t="s">
        <v>79</v>
      </c>
      <c r="N78" s="1" t="s">
        <v>80</v>
      </c>
      <c r="O78" s="1" t="s">
        <v>81</v>
      </c>
      <c r="P78" s="1" t="s">
        <v>1743</v>
      </c>
      <c r="Q78" s="1" t="s">
        <v>1744</v>
      </c>
      <c r="R78" s="1">
        <v>148</v>
      </c>
      <c r="S78" s="1" t="s">
        <v>48</v>
      </c>
      <c r="T78" s="1" t="s">
        <v>2187</v>
      </c>
      <c r="U78" s="1" t="str">
        <f>HYPERLINK("http://dx.doi.org/10.1016/j.asoc.2023.110854","http://dx.doi.org/10.1016/j.asoc.2023.110854")</f>
        <v>http://dx.doi.org/10.1016/j.asoc.2023.110854</v>
      </c>
      <c r="V78" s="1">
        <v>16</v>
      </c>
      <c r="W78" s="1" t="s">
        <v>1746</v>
      </c>
      <c r="X78" s="1" t="s">
        <v>67</v>
      </c>
      <c r="Y78" s="1" t="s">
        <v>292</v>
      </c>
      <c r="Z78" s="1" t="s">
        <v>48</v>
      </c>
      <c r="AA78" s="1" t="s">
        <v>48</v>
      </c>
    </row>
    <row r="79" spans="1:27" s="1" customFormat="1" ht="18.5" x14ac:dyDescent="0.45">
      <c r="A79" s="1" t="s">
        <v>2188</v>
      </c>
      <c r="B79" s="1" t="s">
        <v>2189</v>
      </c>
      <c r="C79" s="1" t="s">
        <v>1018</v>
      </c>
      <c r="D79" s="1" t="s">
        <v>1114</v>
      </c>
      <c r="E79" s="2">
        <v>2023</v>
      </c>
      <c r="F79" s="1" t="s">
        <v>2190</v>
      </c>
      <c r="G79" s="1" t="s">
        <v>58</v>
      </c>
      <c r="H79" s="1" t="s">
        <v>2191</v>
      </c>
      <c r="I79" s="1">
        <v>214</v>
      </c>
      <c r="J79" s="1">
        <v>5</v>
      </c>
      <c r="K79" s="1">
        <v>5</v>
      </c>
      <c r="L79" s="1">
        <v>30</v>
      </c>
      <c r="M79" s="1" t="s">
        <v>252</v>
      </c>
      <c r="N79" s="1" t="s">
        <v>253</v>
      </c>
      <c r="O79" s="1" t="s">
        <v>254</v>
      </c>
      <c r="P79" s="1" t="s">
        <v>1024</v>
      </c>
      <c r="Q79" s="1" t="s">
        <v>1025</v>
      </c>
      <c r="R79" s="1">
        <v>30</v>
      </c>
      <c r="S79" s="1">
        <v>42</v>
      </c>
      <c r="T79" s="1" t="s">
        <v>2192</v>
      </c>
      <c r="U79" s="1" t="str">
        <f>HYPERLINK("http://dx.doi.org/10.1007/s11356-023-29015-5","http://dx.doi.org/10.1007/s11356-023-29015-5")</f>
        <v>http://dx.doi.org/10.1007/s11356-023-29015-5</v>
      </c>
      <c r="V79" s="1">
        <v>35</v>
      </c>
      <c r="W79" s="1" t="s">
        <v>438</v>
      </c>
      <c r="X79" s="1" t="s">
        <v>67</v>
      </c>
      <c r="Y79" s="1" t="s">
        <v>439</v>
      </c>
      <c r="Z79" s="1">
        <v>37597146</v>
      </c>
      <c r="AA79" s="1" t="s">
        <v>48</v>
      </c>
    </row>
    <row r="80" spans="1:27" s="1" customFormat="1" ht="18.5" x14ac:dyDescent="0.45">
      <c r="A80" s="1" t="s">
        <v>876</v>
      </c>
      <c r="B80" s="1" t="s">
        <v>2193</v>
      </c>
      <c r="C80" s="1" t="s">
        <v>2194</v>
      </c>
      <c r="D80" s="1" t="s">
        <v>53</v>
      </c>
      <c r="E80" s="2">
        <v>2023</v>
      </c>
      <c r="F80" s="1" t="s">
        <v>881</v>
      </c>
      <c r="G80" s="1" t="s">
        <v>58</v>
      </c>
      <c r="H80" s="1" t="s">
        <v>882</v>
      </c>
      <c r="I80" s="1">
        <v>66</v>
      </c>
      <c r="J80" s="1">
        <v>1</v>
      </c>
      <c r="K80" s="1">
        <v>1</v>
      </c>
      <c r="L80" s="1">
        <v>3</v>
      </c>
      <c r="M80" s="1" t="s">
        <v>503</v>
      </c>
      <c r="N80" s="1" t="s">
        <v>542</v>
      </c>
      <c r="O80" s="1" t="s">
        <v>543</v>
      </c>
      <c r="P80" s="1" t="s">
        <v>2195</v>
      </c>
      <c r="Q80" s="1" t="s">
        <v>2196</v>
      </c>
      <c r="R80" s="1">
        <v>88</v>
      </c>
      <c r="S80" s="1">
        <v>4</v>
      </c>
      <c r="T80" s="1" t="s">
        <v>2198</v>
      </c>
      <c r="U80" s="1" t="str">
        <f>HYPERLINK("http://dx.doi.org/10.1007/s10708-023-10878-7","http://dx.doi.org/10.1007/s10708-023-10878-7")</f>
        <v>http://dx.doi.org/10.1007/s10708-023-10878-7</v>
      </c>
      <c r="V80" s="1">
        <v>15</v>
      </c>
      <c r="W80" s="1" t="s">
        <v>493</v>
      </c>
      <c r="X80" s="1" t="s">
        <v>124</v>
      </c>
      <c r="Y80" s="1" t="s">
        <v>493</v>
      </c>
      <c r="Z80" s="1" t="s">
        <v>48</v>
      </c>
      <c r="AA80" s="1" t="s">
        <v>48</v>
      </c>
    </row>
    <row r="81" spans="1:27" s="1" customFormat="1" ht="18.5" x14ac:dyDescent="0.45">
      <c r="A81" s="1" t="s">
        <v>2199</v>
      </c>
      <c r="B81" s="1" t="s">
        <v>2200</v>
      </c>
      <c r="C81" s="1" t="s">
        <v>1178</v>
      </c>
      <c r="D81" s="1" t="s">
        <v>53</v>
      </c>
      <c r="E81" s="2">
        <v>2023</v>
      </c>
      <c r="F81" s="1" t="s">
        <v>2201</v>
      </c>
      <c r="G81" s="1" t="s">
        <v>58</v>
      </c>
      <c r="H81" s="1" t="s">
        <v>2202</v>
      </c>
      <c r="I81" s="1">
        <v>67</v>
      </c>
      <c r="J81" s="1">
        <v>16</v>
      </c>
      <c r="K81" s="1">
        <v>3</v>
      </c>
      <c r="L81" s="1">
        <v>28</v>
      </c>
      <c r="M81" s="1" t="s">
        <v>1183</v>
      </c>
      <c r="N81" s="1" t="s">
        <v>1184</v>
      </c>
      <c r="O81" s="1" t="s">
        <v>1185</v>
      </c>
      <c r="P81" s="1" t="s">
        <v>1186</v>
      </c>
      <c r="Q81" s="1" t="s">
        <v>1187</v>
      </c>
      <c r="R81" s="1">
        <v>39</v>
      </c>
      <c r="S81" s="1">
        <v>2</v>
      </c>
      <c r="T81" s="1" t="s">
        <v>2203</v>
      </c>
      <c r="U81" s="1" t="str">
        <f>HYPERLINK("http://dx.doi.org/10.1021/acs.langmuir.2c03204","http://dx.doi.org/10.1021/acs.langmuir.2c03204")</f>
        <v>http://dx.doi.org/10.1021/acs.langmuir.2c03204</v>
      </c>
      <c r="V81" s="1">
        <v>10</v>
      </c>
      <c r="W81" s="1" t="s">
        <v>1190</v>
      </c>
      <c r="X81" s="1" t="s">
        <v>67</v>
      </c>
      <c r="Y81" s="1" t="s">
        <v>1191</v>
      </c>
      <c r="Z81" s="1">
        <v>36606755</v>
      </c>
      <c r="AA81" s="1" t="s">
        <v>48</v>
      </c>
    </row>
    <row r="82" spans="1:27" s="1" customFormat="1" ht="18.5" x14ac:dyDescent="0.45">
      <c r="A82" s="1" t="s">
        <v>2265</v>
      </c>
      <c r="B82" s="1" t="s">
        <v>2266</v>
      </c>
      <c r="C82" s="1" t="s">
        <v>2267</v>
      </c>
      <c r="D82" s="1" t="s">
        <v>111</v>
      </c>
      <c r="E82" s="2">
        <v>2023</v>
      </c>
      <c r="F82" s="1" t="s">
        <v>2268</v>
      </c>
      <c r="G82" s="1" t="s">
        <v>115</v>
      </c>
      <c r="H82" s="1" t="s">
        <v>2269</v>
      </c>
      <c r="I82" s="1">
        <v>52</v>
      </c>
      <c r="J82" s="1">
        <v>8</v>
      </c>
      <c r="K82" s="1">
        <v>2</v>
      </c>
      <c r="L82" s="1">
        <v>2</v>
      </c>
      <c r="M82" s="1" t="s">
        <v>2270</v>
      </c>
      <c r="N82" s="1" t="s">
        <v>2271</v>
      </c>
      <c r="O82" s="1" t="s">
        <v>2272</v>
      </c>
      <c r="P82" s="1" t="s">
        <v>2273</v>
      </c>
      <c r="Q82" s="1" t="s">
        <v>2274</v>
      </c>
      <c r="R82" s="1" t="s">
        <v>48</v>
      </c>
      <c r="S82" s="1" t="s">
        <v>48</v>
      </c>
      <c r="T82" s="1" t="s">
        <v>2275</v>
      </c>
      <c r="U82" s="1" t="str">
        <f>HYPERLINK("http://dx.doi.org/10.1007/s11600-023-01042-3","http://dx.doi.org/10.1007/s11600-023-01042-3")</f>
        <v>http://dx.doi.org/10.1007/s11600-023-01042-3</v>
      </c>
      <c r="V82" s="1">
        <v>16</v>
      </c>
      <c r="W82" s="1" t="s">
        <v>2276</v>
      </c>
      <c r="X82" s="1" t="s">
        <v>67</v>
      </c>
      <c r="Y82" s="1" t="s">
        <v>2276</v>
      </c>
      <c r="Z82" s="1" t="s">
        <v>48</v>
      </c>
      <c r="AA82" s="1" t="s">
        <v>48</v>
      </c>
    </row>
    <row r="83" spans="1:27" s="1" customFormat="1" ht="18.5" x14ac:dyDescent="0.45">
      <c r="A83" s="1" t="s">
        <v>2310</v>
      </c>
      <c r="B83" s="1" t="s">
        <v>2311</v>
      </c>
      <c r="C83" s="1" t="s">
        <v>2312</v>
      </c>
      <c r="D83" s="1" t="s">
        <v>53</v>
      </c>
      <c r="E83" s="2">
        <v>2023</v>
      </c>
      <c r="F83" s="1" t="s">
        <v>2313</v>
      </c>
      <c r="G83" s="1" t="s">
        <v>115</v>
      </c>
      <c r="H83" s="1" t="s">
        <v>1862</v>
      </c>
      <c r="I83" s="1">
        <v>50</v>
      </c>
      <c r="J83" s="1">
        <v>2</v>
      </c>
      <c r="K83" s="1">
        <v>6</v>
      </c>
      <c r="L83" s="1">
        <v>22</v>
      </c>
      <c r="M83" s="1" t="s">
        <v>60</v>
      </c>
      <c r="N83" s="1" t="s">
        <v>61</v>
      </c>
      <c r="O83" s="1" t="s">
        <v>62</v>
      </c>
      <c r="P83" s="1" t="s">
        <v>2314</v>
      </c>
      <c r="Q83" s="1" t="s">
        <v>2315</v>
      </c>
      <c r="R83" s="1">
        <v>376</v>
      </c>
      <c r="S83" s="1" t="s">
        <v>48</v>
      </c>
      <c r="T83" s="1" t="s">
        <v>2318</v>
      </c>
      <c r="U83" s="1" t="str">
        <f>HYPERLINK("http://dx.doi.org/10.1016/j.biortech.2023.128910","http://dx.doi.org/10.1016/j.biortech.2023.128910")</f>
        <v>http://dx.doi.org/10.1016/j.biortech.2023.128910</v>
      </c>
      <c r="V83" s="1">
        <v>8</v>
      </c>
      <c r="W83" s="1" t="s">
        <v>2319</v>
      </c>
      <c r="X83" s="1" t="s">
        <v>67</v>
      </c>
      <c r="Y83" s="1" t="s">
        <v>2320</v>
      </c>
      <c r="Z83" s="1">
        <v>36940875</v>
      </c>
      <c r="AA83" s="1" t="s">
        <v>48</v>
      </c>
    </row>
    <row r="84" spans="1:27" s="1" customFormat="1" ht="18.5" x14ac:dyDescent="0.45">
      <c r="A84" s="1" t="s">
        <v>2321</v>
      </c>
      <c r="B84" s="1" t="s">
        <v>2322</v>
      </c>
      <c r="C84" s="1" t="s">
        <v>1674</v>
      </c>
      <c r="D84" s="1" t="s">
        <v>1802</v>
      </c>
      <c r="E84" s="2">
        <v>2023</v>
      </c>
      <c r="F84" s="1" t="s">
        <v>2323</v>
      </c>
      <c r="G84" s="1" t="s">
        <v>58</v>
      </c>
      <c r="H84" s="1" t="s">
        <v>2324</v>
      </c>
      <c r="I84" s="1">
        <v>0</v>
      </c>
      <c r="J84" s="1">
        <v>0</v>
      </c>
      <c r="K84" s="1">
        <v>0</v>
      </c>
      <c r="L84" s="1">
        <v>0</v>
      </c>
      <c r="M84" s="1" t="s">
        <v>530</v>
      </c>
      <c r="N84" s="1" t="s">
        <v>557</v>
      </c>
      <c r="O84" s="1" t="s">
        <v>1677</v>
      </c>
      <c r="P84" s="1" t="s">
        <v>48</v>
      </c>
      <c r="Q84" s="1" t="s">
        <v>48</v>
      </c>
      <c r="R84" s="1" t="s">
        <v>48</v>
      </c>
      <c r="S84" s="1" t="s">
        <v>48</v>
      </c>
      <c r="T84" s="1" t="s">
        <v>2325</v>
      </c>
      <c r="U84" s="1" t="str">
        <f>HYPERLINK("http://dx.doi.org/10.1108/978-1-83753-180-620231001","http://dx.doi.org/10.1108/978-1-83753-180-620231001")</f>
        <v>http://dx.doi.org/10.1108/978-1-83753-180-620231001</v>
      </c>
      <c r="V84" s="1">
        <v>8</v>
      </c>
      <c r="W84" s="1" t="s">
        <v>1679</v>
      </c>
      <c r="X84" s="1" t="s">
        <v>592</v>
      </c>
      <c r="Y84" s="1" t="s">
        <v>1679</v>
      </c>
      <c r="Z84" s="1" t="s">
        <v>48</v>
      </c>
      <c r="AA84" s="1" t="s">
        <v>48</v>
      </c>
    </row>
    <row r="85" spans="1:27" s="1" customFormat="1" ht="18.5" x14ac:dyDescent="0.45">
      <c r="A85" s="1" t="s">
        <v>2326</v>
      </c>
      <c r="B85" s="1" t="s">
        <v>2327</v>
      </c>
      <c r="C85" s="1" t="s">
        <v>2328</v>
      </c>
      <c r="D85" s="1" t="s">
        <v>53</v>
      </c>
      <c r="E85" s="2">
        <v>2023</v>
      </c>
      <c r="F85" s="1" t="s">
        <v>2329</v>
      </c>
      <c r="G85" s="1" t="s">
        <v>58</v>
      </c>
      <c r="H85" s="1" t="s">
        <v>2330</v>
      </c>
      <c r="I85" s="1">
        <v>45</v>
      </c>
      <c r="J85" s="1">
        <v>3</v>
      </c>
      <c r="K85" s="1">
        <v>2</v>
      </c>
      <c r="L85" s="1">
        <v>13</v>
      </c>
      <c r="M85" s="1" t="s">
        <v>2331</v>
      </c>
      <c r="N85" s="1" t="s">
        <v>504</v>
      </c>
      <c r="O85" s="1" t="s">
        <v>2332</v>
      </c>
      <c r="P85" s="1" t="s">
        <v>2333</v>
      </c>
      <c r="Q85" s="1" t="s">
        <v>2334</v>
      </c>
      <c r="R85" s="1">
        <v>33</v>
      </c>
      <c r="S85" s="1">
        <v>2</v>
      </c>
      <c r="T85" s="1" t="s">
        <v>2337</v>
      </c>
      <c r="U85" s="1" t="str">
        <f>HYPERLINK("http://dx.doi.org/10.1007/s10895-022-03091-1","http://dx.doi.org/10.1007/s10895-022-03091-1")</f>
        <v>http://dx.doi.org/10.1007/s10895-022-03091-1</v>
      </c>
      <c r="V85" s="1">
        <v>10</v>
      </c>
      <c r="W85" s="1" t="s">
        <v>2338</v>
      </c>
      <c r="X85" s="1" t="s">
        <v>67</v>
      </c>
      <c r="Y85" s="1" t="s">
        <v>842</v>
      </c>
      <c r="Z85" s="1">
        <v>36449225</v>
      </c>
      <c r="AA85" s="1" t="s">
        <v>48</v>
      </c>
    </row>
    <row r="86" spans="1:27" s="1" customFormat="1" ht="18.5" x14ac:dyDescent="0.45">
      <c r="A86" s="1" t="s">
        <v>2382</v>
      </c>
      <c r="B86" s="1" t="s">
        <v>2383</v>
      </c>
      <c r="C86" s="1" t="s">
        <v>404</v>
      </c>
      <c r="D86" s="1" t="s">
        <v>53</v>
      </c>
      <c r="E86" s="2">
        <v>2023</v>
      </c>
      <c r="F86" s="1" t="s">
        <v>2384</v>
      </c>
      <c r="G86" s="1" t="s">
        <v>58</v>
      </c>
      <c r="H86" s="1" t="s">
        <v>2385</v>
      </c>
      <c r="I86" s="1">
        <v>70</v>
      </c>
      <c r="J86" s="1">
        <v>15</v>
      </c>
      <c r="K86" s="1">
        <v>0</v>
      </c>
      <c r="L86" s="1">
        <v>0</v>
      </c>
      <c r="M86" s="1" t="s">
        <v>410</v>
      </c>
      <c r="N86" s="1" t="s">
        <v>411</v>
      </c>
      <c r="O86" s="1" t="s">
        <v>412</v>
      </c>
      <c r="P86" s="1" t="s">
        <v>413</v>
      </c>
      <c r="Q86" s="1" t="s">
        <v>48</v>
      </c>
      <c r="R86" s="1">
        <v>13</v>
      </c>
      <c r="S86" s="1">
        <v>1</v>
      </c>
      <c r="T86" s="1" t="s">
        <v>2386</v>
      </c>
      <c r="U86" s="1" t="str">
        <f>HYPERLINK("http://dx.doi.org/10.1038/s41598-023-35888-w","http://dx.doi.org/10.1038/s41598-023-35888-w")</f>
        <v>http://dx.doi.org/10.1038/s41598-023-35888-w</v>
      </c>
      <c r="V86" s="1">
        <v>13</v>
      </c>
      <c r="W86" s="1" t="s">
        <v>335</v>
      </c>
      <c r="X86" s="1" t="s">
        <v>67</v>
      </c>
      <c r="Y86" s="1" t="s">
        <v>336</v>
      </c>
      <c r="Z86" s="1">
        <v>37322033</v>
      </c>
      <c r="AA86" s="1" t="s">
        <v>337</v>
      </c>
    </row>
    <row r="87" spans="1:27" s="1" customFormat="1" ht="18.5" x14ac:dyDescent="0.45">
      <c r="A87" s="1" t="s">
        <v>2387</v>
      </c>
      <c r="B87" s="1" t="s">
        <v>2388</v>
      </c>
      <c r="C87" s="1" t="s">
        <v>1674</v>
      </c>
      <c r="D87" s="1" t="s">
        <v>585</v>
      </c>
      <c r="E87" s="2">
        <v>2023</v>
      </c>
      <c r="F87" s="1" t="s">
        <v>2389</v>
      </c>
      <c r="G87" s="1" t="s">
        <v>58</v>
      </c>
      <c r="H87" s="1" t="s">
        <v>2390</v>
      </c>
      <c r="I87" s="1">
        <v>21</v>
      </c>
      <c r="J87" s="1">
        <v>0</v>
      </c>
      <c r="K87" s="1">
        <v>1</v>
      </c>
      <c r="L87" s="1">
        <v>1</v>
      </c>
      <c r="M87" s="1" t="s">
        <v>530</v>
      </c>
      <c r="N87" s="1" t="s">
        <v>557</v>
      </c>
      <c r="O87" s="1" t="s">
        <v>1677</v>
      </c>
      <c r="P87" s="1" t="s">
        <v>48</v>
      </c>
      <c r="Q87" s="1" t="s">
        <v>48</v>
      </c>
      <c r="R87" s="1" t="s">
        <v>48</v>
      </c>
      <c r="S87" s="1" t="s">
        <v>48</v>
      </c>
      <c r="T87" s="1" t="s">
        <v>2391</v>
      </c>
      <c r="U87" s="1" t="str">
        <f>HYPERLINK("http://dx.doi.org/10.1108/978-1-83753-180-620231021","http://dx.doi.org/10.1108/978-1-83753-180-620231021")</f>
        <v>http://dx.doi.org/10.1108/978-1-83753-180-620231021</v>
      </c>
      <c r="V87" s="1">
        <v>11</v>
      </c>
      <c r="W87" s="1" t="s">
        <v>1679</v>
      </c>
      <c r="X87" s="1" t="s">
        <v>592</v>
      </c>
      <c r="Y87" s="1" t="s">
        <v>1679</v>
      </c>
      <c r="Z87" s="1" t="s">
        <v>48</v>
      </c>
      <c r="AA87" s="1" t="s">
        <v>48</v>
      </c>
    </row>
    <row r="88" spans="1:27" s="1" customFormat="1" ht="18.5" x14ac:dyDescent="0.45">
      <c r="A88" s="1" t="s">
        <v>2435</v>
      </c>
      <c r="B88" s="1" t="s">
        <v>2436</v>
      </c>
      <c r="C88" s="1" t="s">
        <v>2437</v>
      </c>
      <c r="D88" s="1" t="s">
        <v>53</v>
      </c>
      <c r="E88" s="2">
        <v>2023</v>
      </c>
      <c r="F88" s="1" t="s">
        <v>2438</v>
      </c>
      <c r="G88" s="1" t="s">
        <v>77</v>
      </c>
      <c r="H88" s="1" t="s">
        <v>2439</v>
      </c>
      <c r="I88" s="1">
        <v>26</v>
      </c>
      <c r="J88" s="1">
        <v>4</v>
      </c>
      <c r="K88" s="1">
        <v>0</v>
      </c>
      <c r="L88" s="1">
        <v>1</v>
      </c>
      <c r="M88" s="1" t="s">
        <v>198</v>
      </c>
      <c r="N88" s="1" t="s">
        <v>146</v>
      </c>
      <c r="O88" s="1" t="s">
        <v>199</v>
      </c>
      <c r="P88" s="1" t="s">
        <v>2440</v>
      </c>
      <c r="Q88" s="1" t="s">
        <v>2441</v>
      </c>
      <c r="R88" s="1">
        <v>117</v>
      </c>
      <c r="S88" s="1">
        <v>7</v>
      </c>
      <c r="T88" s="1" t="s">
        <v>2443</v>
      </c>
      <c r="U88" s="1" t="str">
        <f>HYPERLINK("http://dx.doi.org/10.1080/20477724.2023.2201982","http://dx.doi.org/10.1080/20477724.2023.2201982")</f>
        <v>http://dx.doi.org/10.1080/20477724.2023.2201982</v>
      </c>
      <c r="V88" s="1">
        <v>8</v>
      </c>
      <c r="W88" s="1" t="s">
        <v>2444</v>
      </c>
      <c r="X88" s="1" t="s">
        <v>67</v>
      </c>
      <c r="Y88" s="1" t="s">
        <v>2444</v>
      </c>
      <c r="Z88" s="1">
        <v>37069793</v>
      </c>
      <c r="AA88" s="1" t="s">
        <v>1325</v>
      </c>
    </row>
    <row r="89" spans="1:27" s="1" customFormat="1" ht="18.5" x14ac:dyDescent="0.45">
      <c r="A89" s="1" t="s">
        <v>2445</v>
      </c>
      <c r="B89" s="1" t="s">
        <v>2446</v>
      </c>
      <c r="C89" s="1" t="s">
        <v>2328</v>
      </c>
      <c r="D89" s="1" t="s">
        <v>1114</v>
      </c>
      <c r="E89" s="2">
        <v>2023</v>
      </c>
      <c r="F89" s="1" t="s">
        <v>2447</v>
      </c>
      <c r="G89" s="1" t="s">
        <v>58</v>
      </c>
      <c r="H89" s="1" t="s">
        <v>2330</v>
      </c>
      <c r="I89" s="1">
        <v>34</v>
      </c>
      <c r="J89" s="1">
        <v>0</v>
      </c>
      <c r="K89" s="1">
        <v>0</v>
      </c>
      <c r="L89" s="1">
        <v>22</v>
      </c>
      <c r="M89" s="1" t="s">
        <v>2331</v>
      </c>
      <c r="N89" s="1" t="s">
        <v>504</v>
      </c>
      <c r="O89" s="1" t="s">
        <v>2332</v>
      </c>
      <c r="P89" s="1" t="s">
        <v>2333</v>
      </c>
      <c r="Q89" s="1" t="s">
        <v>2334</v>
      </c>
      <c r="R89" s="1">
        <v>33</v>
      </c>
      <c r="S89" s="1">
        <v>6</v>
      </c>
      <c r="T89" s="1" t="s">
        <v>2448</v>
      </c>
      <c r="U89" s="1" t="str">
        <f>HYPERLINK("http://dx.doi.org/10.1007/s10895-023-03238-8","http://dx.doi.org/10.1007/s10895-023-03238-8")</f>
        <v>http://dx.doi.org/10.1007/s10895-023-03238-8</v>
      </c>
      <c r="V89" s="1">
        <v>14</v>
      </c>
      <c r="W89" s="1" t="s">
        <v>2338</v>
      </c>
      <c r="X89" s="1" t="s">
        <v>67</v>
      </c>
      <c r="Y89" s="1" t="s">
        <v>842</v>
      </c>
      <c r="Z89" s="1">
        <v>37060429</v>
      </c>
      <c r="AA89" s="1" t="s">
        <v>48</v>
      </c>
    </row>
    <row r="90" spans="1:27" s="1" customFormat="1" ht="18.5" x14ac:dyDescent="0.45">
      <c r="A90" s="1" t="s">
        <v>2450</v>
      </c>
      <c r="B90" s="1" t="s">
        <v>2451</v>
      </c>
      <c r="C90" s="1" t="s">
        <v>868</v>
      </c>
      <c r="D90" s="1" t="s">
        <v>53</v>
      </c>
      <c r="E90" s="2">
        <v>2023</v>
      </c>
      <c r="F90" s="1" t="s">
        <v>2452</v>
      </c>
      <c r="G90" s="1" t="s">
        <v>58</v>
      </c>
      <c r="H90" s="1" t="s">
        <v>2453</v>
      </c>
      <c r="I90" s="1">
        <v>47</v>
      </c>
      <c r="J90" s="1">
        <v>1</v>
      </c>
      <c r="K90" s="1">
        <v>0</v>
      </c>
      <c r="L90" s="1">
        <v>9</v>
      </c>
      <c r="M90" s="1" t="s">
        <v>98</v>
      </c>
      <c r="N90" s="1" t="s">
        <v>99</v>
      </c>
      <c r="O90" s="1" t="s">
        <v>100</v>
      </c>
      <c r="P90" s="1" t="s">
        <v>871</v>
      </c>
      <c r="Q90" s="1" t="s">
        <v>872</v>
      </c>
      <c r="R90" s="1">
        <v>58</v>
      </c>
      <c r="S90" s="1">
        <v>7</v>
      </c>
      <c r="T90" s="1" t="s">
        <v>2454</v>
      </c>
      <c r="U90" s="1" t="str">
        <f>HYPERLINK("http://dx.doi.org/10.1177/00219096221086541","http://dx.doi.org/10.1177/00219096221086541")</f>
        <v>http://dx.doi.org/10.1177/00219096221086541</v>
      </c>
      <c r="V90" s="1">
        <v>24</v>
      </c>
      <c r="W90" s="1" t="s">
        <v>874</v>
      </c>
      <c r="X90" s="1" t="s">
        <v>106</v>
      </c>
      <c r="Y90" s="1" t="s">
        <v>874</v>
      </c>
      <c r="Z90" s="1" t="s">
        <v>48</v>
      </c>
      <c r="AA90" s="1" t="s">
        <v>48</v>
      </c>
    </row>
    <row r="91" spans="1:27" s="1" customFormat="1" ht="18.5" x14ac:dyDescent="0.45">
      <c r="A91" s="1" t="s">
        <v>2476</v>
      </c>
      <c r="B91" s="1" t="s">
        <v>2477</v>
      </c>
      <c r="C91" s="1" t="s">
        <v>2464</v>
      </c>
      <c r="D91" s="1" t="s">
        <v>53</v>
      </c>
      <c r="E91" s="2">
        <v>2023</v>
      </c>
      <c r="F91" s="1" t="s">
        <v>2478</v>
      </c>
      <c r="G91" s="1" t="s">
        <v>58</v>
      </c>
      <c r="H91" s="1" t="s">
        <v>2479</v>
      </c>
      <c r="I91" s="1">
        <v>56</v>
      </c>
      <c r="J91" s="1">
        <v>1</v>
      </c>
      <c r="K91" s="1">
        <v>0</v>
      </c>
      <c r="L91" s="1">
        <v>2</v>
      </c>
      <c r="M91" s="1" t="s">
        <v>2469</v>
      </c>
      <c r="N91" s="1" t="s">
        <v>504</v>
      </c>
      <c r="O91" s="1" t="s">
        <v>2470</v>
      </c>
      <c r="P91" s="1" t="s">
        <v>2471</v>
      </c>
      <c r="Q91" s="1" t="s">
        <v>2472</v>
      </c>
      <c r="R91" s="1">
        <v>32</v>
      </c>
      <c r="S91" s="1">
        <v>4</v>
      </c>
      <c r="T91" s="1" t="s">
        <v>2480</v>
      </c>
      <c r="U91" s="1" t="str">
        <f>HYPERLINK("http://dx.doi.org/10.1134/S181023282304015X","http://dx.doi.org/10.1134/S181023282304015X")</f>
        <v>http://dx.doi.org/10.1134/S181023282304015X</v>
      </c>
      <c r="V91" s="1">
        <v>23</v>
      </c>
      <c r="W91" s="1" t="s">
        <v>2474</v>
      </c>
      <c r="X91" s="1" t="s">
        <v>67</v>
      </c>
      <c r="Y91" s="1" t="s">
        <v>2475</v>
      </c>
      <c r="Z91" s="1" t="s">
        <v>48</v>
      </c>
      <c r="AA91" s="1" t="s">
        <v>48</v>
      </c>
    </row>
    <row r="92" spans="1:27" s="1" customFormat="1" ht="18.5" x14ac:dyDescent="0.45">
      <c r="A92" s="1" t="s">
        <v>2499</v>
      </c>
      <c r="B92" s="1" t="s">
        <v>2500</v>
      </c>
      <c r="C92" s="1" t="s">
        <v>1307</v>
      </c>
      <c r="D92" s="1" t="s">
        <v>111</v>
      </c>
      <c r="E92" s="2">
        <v>2023</v>
      </c>
      <c r="F92" s="1" t="s">
        <v>2501</v>
      </c>
      <c r="G92" s="1" t="s">
        <v>115</v>
      </c>
      <c r="H92" s="1" t="s">
        <v>2502</v>
      </c>
      <c r="I92" s="1">
        <v>11</v>
      </c>
      <c r="J92" s="1">
        <v>0</v>
      </c>
      <c r="K92" s="1">
        <v>0</v>
      </c>
      <c r="L92" s="1">
        <v>0</v>
      </c>
      <c r="M92" s="1" t="s">
        <v>98</v>
      </c>
      <c r="N92" s="1" t="s">
        <v>99</v>
      </c>
      <c r="O92" s="1" t="s">
        <v>100</v>
      </c>
      <c r="P92" s="1" t="s">
        <v>1311</v>
      </c>
      <c r="Q92" s="1" t="s">
        <v>1312</v>
      </c>
      <c r="R92" s="1" t="s">
        <v>48</v>
      </c>
      <c r="S92" s="1" t="s">
        <v>48</v>
      </c>
      <c r="T92" s="1" t="s">
        <v>2503</v>
      </c>
      <c r="U92" s="1" t="str">
        <f>HYPERLINK("http://dx.doi.org/10.1177/2455328X231170123","http://dx.doi.org/10.1177/2455328X231170123")</f>
        <v>http://dx.doi.org/10.1177/2455328X231170123</v>
      </c>
      <c r="V92" s="1">
        <v>14</v>
      </c>
      <c r="W92" s="1" t="s">
        <v>460</v>
      </c>
      <c r="X92" s="1" t="s">
        <v>124</v>
      </c>
      <c r="Y92" s="1" t="s">
        <v>461</v>
      </c>
      <c r="Z92" s="1" t="s">
        <v>48</v>
      </c>
      <c r="AA92" s="1" t="s">
        <v>48</v>
      </c>
    </row>
    <row r="93" spans="1:27" s="1" customFormat="1" ht="18.5" x14ac:dyDescent="0.45">
      <c r="A93" s="1" t="s">
        <v>2504</v>
      </c>
      <c r="B93" s="1" t="s">
        <v>2505</v>
      </c>
      <c r="C93" s="1" t="s">
        <v>2395</v>
      </c>
      <c r="D93" s="1" t="s">
        <v>53</v>
      </c>
      <c r="E93" s="2">
        <v>2023</v>
      </c>
      <c r="F93" s="1" t="s">
        <v>2506</v>
      </c>
      <c r="G93" s="1" t="s">
        <v>58</v>
      </c>
      <c r="H93" s="1" t="s">
        <v>2507</v>
      </c>
      <c r="I93" s="1">
        <v>70</v>
      </c>
      <c r="J93" s="1">
        <v>3</v>
      </c>
      <c r="K93" s="1">
        <v>0</v>
      </c>
      <c r="L93" s="1">
        <v>9</v>
      </c>
      <c r="M93" s="1" t="s">
        <v>2400</v>
      </c>
      <c r="N93" s="1" t="s">
        <v>2401</v>
      </c>
      <c r="O93" s="1" t="s">
        <v>2402</v>
      </c>
      <c r="P93" s="1" t="s">
        <v>2403</v>
      </c>
      <c r="Q93" s="1" t="s">
        <v>2404</v>
      </c>
      <c r="R93" s="1">
        <v>82</v>
      </c>
      <c r="S93" s="1">
        <v>4</v>
      </c>
      <c r="T93" s="1" t="s">
        <v>2508</v>
      </c>
      <c r="U93" s="1" t="str">
        <f>HYPERLINK("http://dx.doi.org/10.1007/s40042-022-00677-7","http://dx.doi.org/10.1007/s40042-022-00677-7")</f>
        <v>http://dx.doi.org/10.1007/s40042-022-00677-7</v>
      </c>
      <c r="V93" s="1">
        <v>8</v>
      </c>
      <c r="W93" s="1" t="s">
        <v>669</v>
      </c>
      <c r="X93" s="1" t="s">
        <v>67</v>
      </c>
      <c r="Y93" s="1" t="s">
        <v>670</v>
      </c>
      <c r="Z93" s="1" t="s">
        <v>48</v>
      </c>
      <c r="AA93" s="1" t="s">
        <v>48</v>
      </c>
    </row>
    <row r="94" spans="1:27" s="1" customFormat="1" ht="18.5" x14ac:dyDescent="0.45">
      <c r="A94" s="1" t="s">
        <v>2562</v>
      </c>
      <c r="B94" s="1" t="s">
        <v>2563</v>
      </c>
      <c r="C94" s="1" t="s">
        <v>2564</v>
      </c>
      <c r="D94" s="1" t="s">
        <v>53</v>
      </c>
      <c r="E94" s="2">
        <v>2023</v>
      </c>
      <c r="F94" s="1" t="s">
        <v>2565</v>
      </c>
      <c r="G94" s="1" t="s">
        <v>58</v>
      </c>
      <c r="H94" s="1" t="s">
        <v>2566</v>
      </c>
      <c r="I94" s="1">
        <v>27</v>
      </c>
      <c r="J94" s="1">
        <v>0</v>
      </c>
      <c r="K94" s="1">
        <v>0</v>
      </c>
      <c r="L94" s="1">
        <v>1</v>
      </c>
      <c r="M94" s="1" t="s">
        <v>2567</v>
      </c>
      <c r="N94" s="1" t="s">
        <v>239</v>
      </c>
      <c r="O94" s="1" t="s">
        <v>2568</v>
      </c>
      <c r="P94" s="1" t="s">
        <v>2569</v>
      </c>
      <c r="Q94" s="1" t="s">
        <v>2570</v>
      </c>
      <c r="R94" s="1">
        <v>23</v>
      </c>
      <c r="S94" s="1" t="s">
        <v>48</v>
      </c>
      <c r="T94" s="1" t="s">
        <v>2571</v>
      </c>
      <c r="U94" s="1" t="str">
        <f>HYPERLINK("http://dx.doi.org/10.1016/j.cegh.2023.101370","http://dx.doi.org/10.1016/j.cegh.2023.101370")</f>
        <v>http://dx.doi.org/10.1016/j.cegh.2023.101370</v>
      </c>
      <c r="V94" s="1">
        <v>8</v>
      </c>
      <c r="W94" s="1" t="s">
        <v>943</v>
      </c>
      <c r="X94" s="1" t="s">
        <v>124</v>
      </c>
      <c r="Y94" s="1" t="s">
        <v>943</v>
      </c>
      <c r="Z94" s="1" t="s">
        <v>48</v>
      </c>
      <c r="AA94" s="1" t="s">
        <v>125</v>
      </c>
    </row>
    <row r="95" spans="1:27" s="1" customFormat="1" ht="18.5" x14ac:dyDescent="0.45">
      <c r="A95" s="1" t="s">
        <v>2587</v>
      </c>
      <c r="B95" s="1" t="s">
        <v>2588</v>
      </c>
      <c r="C95" s="1" t="s">
        <v>2589</v>
      </c>
      <c r="D95" s="1" t="s">
        <v>53</v>
      </c>
      <c r="E95" s="2">
        <v>2023</v>
      </c>
      <c r="F95" s="1" t="s">
        <v>2590</v>
      </c>
      <c r="G95" s="1" t="s">
        <v>115</v>
      </c>
      <c r="H95" s="1" t="s">
        <v>2591</v>
      </c>
      <c r="I95" s="1">
        <v>44</v>
      </c>
      <c r="J95" s="1">
        <v>3</v>
      </c>
      <c r="K95" s="1">
        <v>1</v>
      </c>
      <c r="L95" s="1">
        <v>3</v>
      </c>
      <c r="M95" s="1" t="s">
        <v>198</v>
      </c>
      <c r="N95" s="1" t="s">
        <v>146</v>
      </c>
      <c r="O95" s="1" t="s">
        <v>199</v>
      </c>
      <c r="P95" s="1" t="s">
        <v>2592</v>
      </c>
      <c r="Q95" s="1" t="s">
        <v>2593</v>
      </c>
      <c r="R95" s="1">
        <v>121</v>
      </c>
      <c r="S95" s="1">
        <v>3</v>
      </c>
      <c r="T95" s="1" t="s">
        <v>2594</v>
      </c>
      <c r="U95" s="1" t="str">
        <f>HYPERLINK("http://dx.doi.org/10.1080/00268976.2022.2161964","http://dx.doi.org/10.1080/00268976.2022.2161964")</f>
        <v>http://dx.doi.org/10.1080/00268976.2022.2161964</v>
      </c>
      <c r="V95" s="1">
        <v>16</v>
      </c>
      <c r="W95" s="1" t="s">
        <v>2595</v>
      </c>
      <c r="X95" s="1" t="s">
        <v>67</v>
      </c>
      <c r="Y95" s="1" t="s">
        <v>2596</v>
      </c>
      <c r="Z95" s="1" t="s">
        <v>48</v>
      </c>
      <c r="AA95" s="1" t="s">
        <v>48</v>
      </c>
    </row>
    <row r="96" spans="1:27" s="1" customFormat="1" ht="18.5" x14ac:dyDescent="0.45">
      <c r="A96" s="1" t="s">
        <v>2689</v>
      </c>
      <c r="B96" s="1" t="s">
        <v>2690</v>
      </c>
      <c r="C96" s="1" t="s">
        <v>1150</v>
      </c>
      <c r="D96" s="1" t="s">
        <v>53</v>
      </c>
      <c r="E96" s="2">
        <v>2023</v>
      </c>
      <c r="F96" s="1" t="s">
        <v>2691</v>
      </c>
      <c r="G96" s="1" t="s">
        <v>58</v>
      </c>
      <c r="H96" s="1" t="s">
        <v>2692</v>
      </c>
      <c r="I96" s="1">
        <v>29</v>
      </c>
      <c r="J96" s="1">
        <v>0</v>
      </c>
      <c r="K96" s="1">
        <v>1</v>
      </c>
      <c r="L96" s="1">
        <v>1</v>
      </c>
      <c r="M96" s="1" t="s">
        <v>517</v>
      </c>
      <c r="N96" s="1" t="s">
        <v>239</v>
      </c>
      <c r="O96" s="1" t="s">
        <v>518</v>
      </c>
      <c r="P96" s="1" t="s">
        <v>1153</v>
      </c>
      <c r="Q96" s="1" t="s">
        <v>1154</v>
      </c>
      <c r="R96" s="1">
        <v>70</v>
      </c>
      <c r="S96" s="1">
        <v>3</v>
      </c>
      <c r="T96" s="1" t="s">
        <v>2693</v>
      </c>
      <c r="U96" s="1" t="str">
        <f>HYPERLINK("http://dx.doi.org/10.56042/alis.v70i3.2492","http://dx.doi.org/10.56042/alis.v70i3.2492")</f>
        <v>http://dx.doi.org/10.56042/alis.v70i3.2492</v>
      </c>
      <c r="V96" s="1">
        <v>14</v>
      </c>
      <c r="W96" s="1" t="s">
        <v>1158</v>
      </c>
      <c r="X96" s="1" t="s">
        <v>124</v>
      </c>
      <c r="Y96" s="1" t="s">
        <v>1158</v>
      </c>
      <c r="Z96" s="1" t="s">
        <v>48</v>
      </c>
      <c r="AA96" s="1" t="s">
        <v>125</v>
      </c>
    </row>
    <row r="97" spans="1:27" s="1" customFormat="1" ht="18.5" x14ac:dyDescent="0.45">
      <c r="A97" s="1" t="s">
        <v>2232</v>
      </c>
      <c r="B97" s="1" t="s">
        <v>2748</v>
      </c>
      <c r="C97" s="1" t="s">
        <v>404</v>
      </c>
      <c r="D97" s="1" t="s">
        <v>53</v>
      </c>
      <c r="E97" s="2">
        <v>2023</v>
      </c>
      <c r="F97" s="1" t="s">
        <v>2749</v>
      </c>
      <c r="G97" s="1" t="s">
        <v>58</v>
      </c>
      <c r="H97" s="1" t="s">
        <v>359</v>
      </c>
      <c r="I97" s="1">
        <v>73</v>
      </c>
      <c r="J97" s="1">
        <v>1</v>
      </c>
      <c r="K97" s="1">
        <v>0</v>
      </c>
      <c r="L97" s="1">
        <v>0</v>
      </c>
      <c r="M97" s="1" t="s">
        <v>410</v>
      </c>
      <c r="N97" s="1" t="s">
        <v>411</v>
      </c>
      <c r="O97" s="1" t="s">
        <v>412</v>
      </c>
      <c r="P97" s="1" t="s">
        <v>413</v>
      </c>
      <c r="Q97" s="1" t="s">
        <v>48</v>
      </c>
      <c r="R97" s="1">
        <v>13</v>
      </c>
      <c r="S97" s="1">
        <v>1</v>
      </c>
      <c r="T97" s="1" t="s">
        <v>2750</v>
      </c>
      <c r="U97" s="1" t="str">
        <f>HYPERLINK("http://dx.doi.org/10.1038/s41598-023-45442-3","http://dx.doi.org/10.1038/s41598-023-45442-3")</f>
        <v>http://dx.doi.org/10.1038/s41598-023-45442-3</v>
      </c>
      <c r="V97" s="1">
        <v>18</v>
      </c>
      <c r="W97" s="1" t="s">
        <v>335</v>
      </c>
      <c r="X97" s="1" t="s">
        <v>67</v>
      </c>
      <c r="Y97" s="1" t="s">
        <v>336</v>
      </c>
      <c r="Z97" s="1">
        <v>37914752</v>
      </c>
      <c r="AA97" s="1" t="s">
        <v>337</v>
      </c>
    </row>
    <row r="98" spans="1:27" s="1" customFormat="1" ht="18.5" x14ac:dyDescent="0.45">
      <c r="A98" s="1" t="s">
        <v>2751</v>
      </c>
      <c r="B98" s="1" t="s">
        <v>2752</v>
      </c>
      <c r="C98" s="1" t="s">
        <v>1520</v>
      </c>
      <c r="D98" s="1" t="s">
        <v>1114</v>
      </c>
      <c r="E98" s="2">
        <v>2023</v>
      </c>
      <c r="F98" s="1" t="s">
        <v>2753</v>
      </c>
      <c r="G98" s="1" t="s">
        <v>115</v>
      </c>
      <c r="H98" s="1" t="s">
        <v>2754</v>
      </c>
      <c r="I98" s="1">
        <v>177</v>
      </c>
      <c r="J98" s="1">
        <v>2</v>
      </c>
      <c r="K98" s="1">
        <v>4</v>
      </c>
      <c r="L98" s="1">
        <v>5</v>
      </c>
      <c r="M98" s="1" t="s">
        <v>1523</v>
      </c>
      <c r="N98" s="1" t="s">
        <v>632</v>
      </c>
      <c r="O98" s="1" t="s">
        <v>1524</v>
      </c>
      <c r="P98" s="1" t="s">
        <v>1525</v>
      </c>
      <c r="Q98" s="1" t="s">
        <v>1526</v>
      </c>
      <c r="R98" s="1">
        <v>3</v>
      </c>
      <c r="S98" s="1">
        <v>4</v>
      </c>
      <c r="T98" s="1" t="s">
        <v>2755</v>
      </c>
      <c r="U98" s="1" t="str">
        <f>HYPERLINK("http://dx.doi.org/10.1007/s43393-023-00178-z","http://dx.doi.org/10.1007/s43393-023-00178-z")</f>
        <v>http://dx.doi.org/10.1007/s43393-023-00178-z</v>
      </c>
      <c r="V98" s="1">
        <v>19</v>
      </c>
      <c r="W98" s="1" t="s">
        <v>1528</v>
      </c>
      <c r="X98" s="1" t="s">
        <v>124</v>
      </c>
      <c r="Y98" s="1" t="s">
        <v>1528</v>
      </c>
      <c r="Z98" s="1" t="s">
        <v>48</v>
      </c>
      <c r="AA98" s="1" t="s">
        <v>48</v>
      </c>
    </row>
    <row r="99" spans="1:27" s="1" customFormat="1" ht="18.5" x14ac:dyDescent="0.45">
      <c r="A99" s="1" t="s">
        <v>2756</v>
      </c>
      <c r="B99" s="1" t="s">
        <v>2757</v>
      </c>
      <c r="C99" s="1" t="s">
        <v>2758</v>
      </c>
      <c r="D99" s="1" t="s">
        <v>53</v>
      </c>
      <c r="E99" s="2">
        <v>2023</v>
      </c>
      <c r="F99" s="1" t="s">
        <v>2759</v>
      </c>
      <c r="G99" s="1" t="s">
        <v>115</v>
      </c>
      <c r="H99" s="1" t="s">
        <v>2760</v>
      </c>
      <c r="I99" s="1">
        <v>42</v>
      </c>
      <c r="J99" s="1">
        <v>3</v>
      </c>
      <c r="K99" s="1">
        <v>0</v>
      </c>
      <c r="L99" s="1">
        <v>5</v>
      </c>
      <c r="M99" s="1" t="s">
        <v>1242</v>
      </c>
      <c r="N99" s="1" t="s">
        <v>1243</v>
      </c>
      <c r="O99" s="1" t="s">
        <v>1244</v>
      </c>
      <c r="P99" s="1" t="s">
        <v>2761</v>
      </c>
      <c r="Q99" s="1" t="s">
        <v>2762</v>
      </c>
      <c r="R99" s="1">
        <v>41</v>
      </c>
      <c r="S99" s="1">
        <v>23</v>
      </c>
      <c r="T99" s="1" t="s">
        <v>2763</v>
      </c>
      <c r="U99" s="1" t="str">
        <f>HYPERLINK("http://dx.doi.org/10.1080/07391102.2023.2180436","http://dx.doi.org/10.1080/07391102.2023.2180436")</f>
        <v>http://dx.doi.org/10.1080/07391102.2023.2180436</v>
      </c>
      <c r="V99" s="1">
        <v>9</v>
      </c>
      <c r="W99" s="1" t="s">
        <v>2764</v>
      </c>
      <c r="X99" s="1" t="s">
        <v>67</v>
      </c>
      <c r="Y99" s="1" t="s">
        <v>2764</v>
      </c>
      <c r="Z99" s="1">
        <v>38073529</v>
      </c>
      <c r="AA99" s="1" t="s">
        <v>48</v>
      </c>
    </row>
    <row r="100" spans="1:27" s="1" customFormat="1" ht="18.5" x14ac:dyDescent="0.45">
      <c r="A100" s="1" t="s">
        <v>2892</v>
      </c>
      <c r="B100" s="1" t="s">
        <v>2893</v>
      </c>
      <c r="C100" s="1" t="s">
        <v>2894</v>
      </c>
      <c r="D100" s="1" t="s">
        <v>53</v>
      </c>
      <c r="E100" s="2">
        <v>2023</v>
      </c>
      <c r="F100" s="1" t="s">
        <v>2895</v>
      </c>
      <c r="G100" s="1" t="s">
        <v>58</v>
      </c>
      <c r="H100" s="1" t="s">
        <v>2591</v>
      </c>
      <c r="I100" s="1">
        <v>56</v>
      </c>
      <c r="J100" s="1">
        <v>2</v>
      </c>
      <c r="K100" s="1">
        <v>1</v>
      </c>
      <c r="L100" s="1">
        <v>3</v>
      </c>
      <c r="M100" s="1" t="s">
        <v>503</v>
      </c>
      <c r="N100" s="1" t="s">
        <v>504</v>
      </c>
      <c r="O100" s="1" t="s">
        <v>505</v>
      </c>
      <c r="P100" s="1" t="s">
        <v>2896</v>
      </c>
      <c r="Q100" s="1" t="s">
        <v>2897</v>
      </c>
      <c r="R100" s="1">
        <v>142</v>
      </c>
      <c r="S100" s="1">
        <v>12</v>
      </c>
      <c r="T100" s="1" t="s">
        <v>2898</v>
      </c>
      <c r="U100" s="1" t="str">
        <f>HYPERLINK("http://dx.doi.org/10.1007/s00214-023-03066-w","http://dx.doi.org/10.1007/s00214-023-03066-w")</f>
        <v>http://dx.doi.org/10.1007/s00214-023-03066-w</v>
      </c>
      <c r="V100" s="1">
        <v>11</v>
      </c>
      <c r="W100" s="1" t="s">
        <v>2899</v>
      </c>
      <c r="X100" s="1" t="s">
        <v>67</v>
      </c>
      <c r="Y100" s="1" t="s">
        <v>2293</v>
      </c>
      <c r="Z100" s="1" t="s">
        <v>48</v>
      </c>
      <c r="AA100" s="1" t="s">
        <v>48</v>
      </c>
    </row>
    <row r="101" spans="1:27" s="1" customFormat="1" ht="18.5" x14ac:dyDescent="0.45">
      <c r="A101" s="1" t="s">
        <v>2901</v>
      </c>
      <c r="B101" s="1" t="s">
        <v>2902</v>
      </c>
      <c r="C101" s="1" t="s">
        <v>1812</v>
      </c>
      <c r="D101" s="1" t="s">
        <v>111</v>
      </c>
      <c r="E101" s="2">
        <v>2023</v>
      </c>
      <c r="F101" s="1" t="s">
        <v>2903</v>
      </c>
      <c r="G101" s="1" t="s">
        <v>58</v>
      </c>
      <c r="H101" s="1" t="s">
        <v>2904</v>
      </c>
      <c r="I101" s="1">
        <v>30</v>
      </c>
      <c r="J101" s="1">
        <v>2</v>
      </c>
      <c r="K101" s="1">
        <v>3</v>
      </c>
      <c r="L101" s="1">
        <v>16</v>
      </c>
      <c r="M101" s="1" t="s">
        <v>503</v>
      </c>
      <c r="N101" s="1" t="s">
        <v>504</v>
      </c>
      <c r="O101" s="1" t="s">
        <v>505</v>
      </c>
      <c r="P101" s="1" t="s">
        <v>1814</v>
      </c>
      <c r="Q101" s="1" t="s">
        <v>1815</v>
      </c>
      <c r="R101" s="1" t="s">
        <v>48</v>
      </c>
      <c r="S101" s="1" t="s">
        <v>48</v>
      </c>
      <c r="T101" s="1" t="s">
        <v>2905</v>
      </c>
      <c r="U101" s="1" t="str">
        <f>HYPERLINK("http://dx.doi.org/10.1007/s00500-023-09012-z","http://dx.doi.org/10.1007/s00500-023-09012-z")</f>
        <v>http://dx.doi.org/10.1007/s00500-023-09012-z</v>
      </c>
      <c r="V101" s="1">
        <v>14</v>
      </c>
      <c r="W101" s="1" t="s">
        <v>1746</v>
      </c>
      <c r="X101" s="1" t="s">
        <v>67</v>
      </c>
      <c r="Y101" s="1" t="s">
        <v>292</v>
      </c>
      <c r="Z101" s="1" t="s">
        <v>48</v>
      </c>
      <c r="AA101" s="1" t="s">
        <v>48</v>
      </c>
    </row>
    <row r="102" spans="1:27" s="1" customFormat="1" ht="18.5" x14ac:dyDescent="0.45">
      <c r="A102" s="1" t="s">
        <v>2504</v>
      </c>
      <c r="B102" s="1" t="s">
        <v>2953</v>
      </c>
      <c r="C102" s="1" t="s">
        <v>2954</v>
      </c>
      <c r="D102" s="1" t="s">
        <v>53</v>
      </c>
      <c r="E102" s="2">
        <v>2023</v>
      </c>
      <c r="F102" s="1" t="s">
        <v>2955</v>
      </c>
      <c r="G102" s="1" t="s">
        <v>58</v>
      </c>
      <c r="H102" s="1" t="s">
        <v>2956</v>
      </c>
      <c r="I102" s="1">
        <v>58</v>
      </c>
      <c r="J102" s="1">
        <v>1</v>
      </c>
      <c r="K102" s="1">
        <v>7</v>
      </c>
      <c r="L102" s="1">
        <v>13</v>
      </c>
      <c r="M102" s="1" t="s">
        <v>252</v>
      </c>
      <c r="N102" s="1" t="s">
        <v>253</v>
      </c>
      <c r="O102" s="1" t="s">
        <v>254</v>
      </c>
      <c r="P102" s="1" t="s">
        <v>2957</v>
      </c>
      <c r="Q102" s="1" t="s">
        <v>48</v>
      </c>
      <c r="R102" s="1">
        <v>138</v>
      </c>
      <c r="S102" s="1">
        <v>12</v>
      </c>
      <c r="T102" s="1" t="s">
        <v>2960</v>
      </c>
      <c r="U102" s="1" t="str">
        <f>HYPERLINK("http://dx.doi.org/10.1140/epjp/s13360-023-04783-8","http://dx.doi.org/10.1140/epjp/s13360-023-04783-8")</f>
        <v>http://dx.doi.org/10.1140/epjp/s13360-023-04783-8</v>
      </c>
      <c r="V102" s="1">
        <v>9</v>
      </c>
      <c r="W102" s="1" t="s">
        <v>669</v>
      </c>
      <c r="X102" s="1" t="s">
        <v>67</v>
      </c>
      <c r="Y102" s="1" t="s">
        <v>670</v>
      </c>
      <c r="Z102" s="1" t="s">
        <v>48</v>
      </c>
      <c r="AA102" s="1" t="s">
        <v>48</v>
      </c>
    </row>
    <row r="103" spans="1:27" s="1" customFormat="1" ht="18.5" x14ac:dyDescent="0.45">
      <c r="A103" s="1" t="s">
        <v>2277</v>
      </c>
      <c r="B103" s="1" t="s">
        <v>2961</v>
      </c>
      <c r="C103" s="1" t="s">
        <v>1812</v>
      </c>
      <c r="D103" s="1" t="s">
        <v>53</v>
      </c>
      <c r="E103" s="2">
        <v>2023</v>
      </c>
      <c r="F103" s="1" t="s">
        <v>2962</v>
      </c>
      <c r="G103" s="1" t="s">
        <v>58</v>
      </c>
      <c r="H103" s="1" t="s">
        <v>2963</v>
      </c>
      <c r="I103" s="1">
        <v>54</v>
      </c>
      <c r="J103" s="1">
        <v>4</v>
      </c>
      <c r="K103" s="1">
        <v>1</v>
      </c>
      <c r="L103" s="1">
        <v>17</v>
      </c>
      <c r="M103" s="1" t="s">
        <v>503</v>
      </c>
      <c r="N103" s="1" t="s">
        <v>504</v>
      </c>
      <c r="O103" s="1" t="s">
        <v>505</v>
      </c>
      <c r="P103" s="1" t="s">
        <v>1814</v>
      </c>
      <c r="Q103" s="1" t="s">
        <v>1815</v>
      </c>
      <c r="R103" s="1">
        <v>27</v>
      </c>
      <c r="S103" s="1">
        <v>14</v>
      </c>
      <c r="T103" s="1" t="s">
        <v>2964</v>
      </c>
      <c r="U103" s="1" t="str">
        <f>HYPERLINK("http://dx.doi.org/10.1007/s00500-023-08234-5","http://dx.doi.org/10.1007/s00500-023-08234-5")</f>
        <v>http://dx.doi.org/10.1007/s00500-023-08234-5</v>
      </c>
      <c r="V103" s="1">
        <v>14</v>
      </c>
      <c r="W103" s="1" t="s">
        <v>1746</v>
      </c>
      <c r="X103" s="1" t="s">
        <v>67</v>
      </c>
      <c r="Y103" s="1" t="s">
        <v>292</v>
      </c>
      <c r="Z103" s="1" t="s">
        <v>48</v>
      </c>
      <c r="AA103" s="1" t="s">
        <v>48</v>
      </c>
    </row>
    <row r="104" spans="1:27" s="1" customFormat="1" ht="18.5" x14ac:dyDescent="0.45">
      <c r="A104" s="1" t="s">
        <v>2996</v>
      </c>
      <c r="B104" s="1" t="s">
        <v>2997</v>
      </c>
      <c r="C104" s="1" t="s">
        <v>2618</v>
      </c>
      <c r="D104" s="1" t="s">
        <v>53</v>
      </c>
      <c r="E104" s="2">
        <v>2023</v>
      </c>
      <c r="F104" s="1" t="s">
        <v>2998</v>
      </c>
      <c r="G104" s="1" t="s">
        <v>58</v>
      </c>
      <c r="H104" s="1" t="s">
        <v>2999</v>
      </c>
      <c r="I104" s="1">
        <v>57</v>
      </c>
      <c r="J104" s="1">
        <v>6</v>
      </c>
      <c r="K104" s="1">
        <v>0</v>
      </c>
      <c r="L104" s="1">
        <v>4</v>
      </c>
      <c r="M104" s="1" t="s">
        <v>503</v>
      </c>
      <c r="N104" s="1" t="s">
        <v>542</v>
      </c>
      <c r="O104" s="1" t="s">
        <v>543</v>
      </c>
      <c r="P104" s="1" t="s">
        <v>2623</v>
      </c>
      <c r="Q104" s="1" t="s">
        <v>2624</v>
      </c>
      <c r="R104" s="1">
        <v>34</v>
      </c>
      <c r="S104" s="1">
        <v>32</v>
      </c>
      <c r="T104" s="1" t="s">
        <v>3000</v>
      </c>
      <c r="U104" s="1" t="str">
        <f>HYPERLINK("http://dx.doi.org/10.1007/s10854-023-11593-2","http://dx.doi.org/10.1007/s10854-023-11593-2")</f>
        <v>http://dx.doi.org/10.1007/s10854-023-11593-2</v>
      </c>
      <c r="V104" s="1">
        <v>16</v>
      </c>
      <c r="W104" s="1" t="s">
        <v>2628</v>
      </c>
      <c r="X104" s="1" t="s">
        <v>67</v>
      </c>
      <c r="Y104" s="1" t="s">
        <v>2629</v>
      </c>
      <c r="Z104" s="1" t="s">
        <v>48</v>
      </c>
      <c r="AA104" s="1" t="s">
        <v>48</v>
      </c>
    </row>
    <row r="105" spans="1:27" s="1" customFormat="1" ht="18.5" x14ac:dyDescent="0.45">
      <c r="A105" s="1" t="s">
        <v>3031</v>
      </c>
      <c r="B105" s="1" t="s">
        <v>3032</v>
      </c>
      <c r="C105" s="1" t="s">
        <v>1150</v>
      </c>
      <c r="D105" s="1" t="s">
        <v>53</v>
      </c>
      <c r="E105" s="2">
        <v>2023</v>
      </c>
      <c r="F105" s="1" t="s">
        <v>3033</v>
      </c>
      <c r="G105" s="1" t="s">
        <v>58</v>
      </c>
      <c r="H105" s="1" t="s">
        <v>3034</v>
      </c>
      <c r="I105" s="1">
        <v>22</v>
      </c>
      <c r="J105" s="1">
        <v>0</v>
      </c>
      <c r="K105" s="1">
        <v>0</v>
      </c>
      <c r="L105" s="1">
        <v>0</v>
      </c>
      <c r="M105" s="1" t="s">
        <v>517</v>
      </c>
      <c r="N105" s="1" t="s">
        <v>239</v>
      </c>
      <c r="O105" s="1" t="s">
        <v>518</v>
      </c>
      <c r="P105" s="1" t="s">
        <v>1153</v>
      </c>
      <c r="Q105" s="1" t="s">
        <v>1154</v>
      </c>
      <c r="R105" s="1">
        <v>70</v>
      </c>
      <c r="S105" s="1">
        <v>2</v>
      </c>
      <c r="T105" s="1" t="s">
        <v>3035</v>
      </c>
      <c r="U105" s="1" t="str">
        <f>HYPERLINK("http://dx.doi.org/10.56042/alis.v70i2.1045","http://dx.doi.org/10.56042/alis.v70i2.1045")</f>
        <v>http://dx.doi.org/10.56042/alis.v70i2.1045</v>
      </c>
      <c r="V105" s="1">
        <v>8</v>
      </c>
      <c r="W105" s="1" t="s">
        <v>1158</v>
      </c>
      <c r="X105" s="1" t="s">
        <v>124</v>
      </c>
      <c r="Y105" s="1" t="s">
        <v>1158</v>
      </c>
      <c r="Z105" s="1" t="s">
        <v>48</v>
      </c>
      <c r="AA105" s="1" t="s">
        <v>125</v>
      </c>
    </row>
    <row r="106" spans="1:27" s="1" customFormat="1" ht="18.5" x14ac:dyDescent="0.45">
      <c r="A106" s="1" t="s">
        <v>3036</v>
      </c>
      <c r="B106" s="1" t="s">
        <v>3037</v>
      </c>
      <c r="C106" s="1" t="s">
        <v>3038</v>
      </c>
      <c r="D106" s="1" t="s">
        <v>53</v>
      </c>
      <c r="E106" s="2">
        <v>2023</v>
      </c>
      <c r="F106" s="1" t="s">
        <v>3039</v>
      </c>
      <c r="G106" s="1" t="s">
        <v>115</v>
      </c>
      <c r="H106" s="1" t="s">
        <v>2513</v>
      </c>
      <c r="I106" s="1">
        <v>46</v>
      </c>
      <c r="J106" s="1">
        <v>5</v>
      </c>
      <c r="K106" s="1">
        <v>2</v>
      </c>
      <c r="L106" s="1">
        <v>4</v>
      </c>
      <c r="M106" s="1" t="s">
        <v>3040</v>
      </c>
      <c r="N106" s="1" t="s">
        <v>3041</v>
      </c>
      <c r="O106" s="1" t="s">
        <v>3042</v>
      </c>
      <c r="P106" s="1" t="s">
        <v>3043</v>
      </c>
      <c r="Q106" s="1" t="s">
        <v>3044</v>
      </c>
      <c r="R106" s="1">
        <v>54</v>
      </c>
      <c r="S106" s="1">
        <v>2</v>
      </c>
      <c r="T106" s="1" t="s">
        <v>3045</v>
      </c>
      <c r="U106" s="1" t="str">
        <f>HYPERLINK("http://dx.doi.org/10.1007/s13592-023-00994-1","http://dx.doi.org/10.1007/s13592-023-00994-1")</f>
        <v>http://dx.doi.org/10.1007/s13592-023-00994-1</v>
      </c>
      <c r="V106" s="1">
        <v>13</v>
      </c>
      <c r="W106" s="1" t="s">
        <v>2521</v>
      </c>
      <c r="X106" s="1" t="s">
        <v>67</v>
      </c>
      <c r="Y106" s="1" t="s">
        <v>2521</v>
      </c>
      <c r="Z106" s="1" t="s">
        <v>48</v>
      </c>
      <c r="AA106" s="1" t="s">
        <v>1003</v>
      </c>
    </row>
    <row r="107" spans="1:27" s="1" customFormat="1" ht="18.5" x14ac:dyDescent="0.45">
      <c r="A107" s="1" t="s">
        <v>3093</v>
      </c>
      <c r="B107" s="1" t="s">
        <v>3094</v>
      </c>
      <c r="C107" s="1" t="s">
        <v>2194</v>
      </c>
      <c r="D107" s="1" t="s">
        <v>53</v>
      </c>
      <c r="E107" s="2">
        <v>2023</v>
      </c>
      <c r="F107" s="1" t="s">
        <v>3095</v>
      </c>
      <c r="G107" s="1" t="s">
        <v>58</v>
      </c>
      <c r="H107" s="1" t="s">
        <v>3096</v>
      </c>
      <c r="I107" s="1">
        <v>39</v>
      </c>
      <c r="J107" s="1">
        <v>8</v>
      </c>
      <c r="K107" s="1">
        <v>1</v>
      </c>
      <c r="L107" s="1">
        <v>7</v>
      </c>
      <c r="M107" s="1" t="s">
        <v>503</v>
      </c>
      <c r="N107" s="1" t="s">
        <v>542</v>
      </c>
      <c r="O107" s="1" t="s">
        <v>543</v>
      </c>
      <c r="P107" s="1" t="s">
        <v>2195</v>
      </c>
      <c r="Q107" s="1" t="s">
        <v>2196</v>
      </c>
      <c r="R107" s="1">
        <v>88</v>
      </c>
      <c r="S107" s="1">
        <v>4</v>
      </c>
      <c r="T107" s="1" t="s">
        <v>3097</v>
      </c>
      <c r="U107" s="1" t="str">
        <f>HYPERLINK("http://dx.doi.org/10.1007/s10708-023-10833-6","http://dx.doi.org/10.1007/s10708-023-10833-6")</f>
        <v>http://dx.doi.org/10.1007/s10708-023-10833-6</v>
      </c>
      <c r="V107" s="1">
        <v>20</v>
      </c>
      <c r="W107" s="1" t="s">
        <v>493</v>
      </c>
      <c r="X107" s="1" t="s">
        <v>124</v>
      </c>
      <c r="Y107" s="1" t="s">
        <v>493</v>
      </c>
      <c r="Z107" s="1" t="s">
        <v>48</v>
      </c>
      <c r="AA107" s="1" t="s">
        <v>48</v>
      </c>
    </row>
    <row r="108" spans="1:27" s="1" customFormat="1" ht="18.5" x14ac:dyDescent="0.45">
      <c r="A108" s="1" t="s">
        <v>3098</v>
      </c>
      <c r="B108" s="1" t="s">
        <v>3099</v>
      </c>
      <c r="C108" s="1" t="s">
        <v>2604</v>
      </c>
      <c r="D108" s="1" t="s">
        <v>53</v>
      </c>
      <c r="E108" s="2">
        <v>2023</v>
      </c>
      <c r="F108" s="1" t="s">
        <v>3100</v>
      </c>
      <c r="G108" s="1" t="s">
        <v>58</v>
      </c>
      <c r="H108" s="1" t="s">
        <v>2606</v>
      </c>
      <c r="I108" s="1">
        <v>77</v>
      </c>
      <c r="J108" s="1">
        <v>3</v>
      </c>
      <c r="K108" s="1">
        <v>0</v>
      </c>
      <c r="L108" s="1">
        <v>8</v>
      </c>
      <c r="M108" s="1" t="s">
        <v>2607</v>
      </c>
      <c r="N108" s="1" t="s">
        <v>361</v>
      </c>
      <c r="O108" s="1" t="s">
        <v>2608</v>
      </c>
      <c r="P108" s="1" t="s">
        <v>2609</v>
      </c>
      <c r="Q108" s="1" t="s">
        <v>2610</v>
      </c>
      <c r="R108" s="1">
        <v>47</v>
      </c>
      <c r="S108" s="1">
        <v>6</v>
      </c>
      <c r="T108" s="1" t="s">
        <v>3101</v>
      </c>
      <c r="U108" s="1" t="str">
        <f>HYPERLINK("http://dx.doi.org/10.1039/d2nj05900b","http://dx.doi.org/10.1039/d2nj05900b")</f>
        <v>http://dx.doi.org/10.1039/d2nj05900b</v>
      </c>
      <c r="V108" s="1">
        <v>8</v>
      </c>
      <c r="W108" s="1" t="s">
        <v>2292</v>
      </c>
      <c r="X108" s="1" t="s">
        <v>67</v>
      </c>
      <c r="Y108" s="1" t="s">
        <v>2293</v>
      </c>
      <c r="Z108" s="1" t="s">
        <v>48</v>
      </c>
      <c r="AA108" s="1" t="s">
        <v>48</v>
      </c>
    </row>
    <row r="109" spans="1:27" s="1" customFormat="1" ht="18.5" x14ac:dyDescent="0.45">
      <c r="A109" s="1" t="s">
        <v>2533</v>
      </c>
      <c r="B109" s="1" t="s">
        <v>3144</v>
      </c>
      <c r="C109" s="1" t="s">
        <v>1686</v>
      </c>
      <c r="D109" s="1" t="s">
        <v>53</v>
      </c>
      <c r="E109" s="2">
        <v>2023</v>
      </c>
      <c r="F109" s="1" t="s">
        <v>3145</v>
      </c>
      <c r="G109" s="1" t="s">
        <v>58</v>
      </c>
      <c r="H109" s="1" t="s">
        <v>3146</v>
      </c>
      <c r="I109" s="1">
        <v>15</v>
      </c>
      <c r="J109" s="1">
        <v>2</v>
      </c>
      <c r="K109" s="1">
        <v>2</v>
      </c>
      <c r="L109" s="1">
        <v>3</v>
      </c>
      <c r="M109" s="1" t="s">
        <v>1687</v>
      </c>
      <c r="N109" s="1" t="s">
        <v>1688</v>
      </c>
      <c r="O109" s="1" t="s">
        <v>1689</v>
      </c>
      <c r="P109" s="1" t="s">
        <v>1690</v>
      </c>
      <c r="Q109" s="1" t="s">
        <v>1691</v>
      </c>
      <c r="R109" s="1">
        <v>12</v>
      </c>
      <c r="S109" s="1">
        <v>1</v>
      </c>
      <c r="T109" s="1" t="s">
        <v>3147</v>
      </c>
      <c r="U109" s="1" t="str">
        <f>HYPERLINK("http://dx.doi.org/10.5530/jscires.12.1.017","http://dx.doi.org/10.5530/jscires.12.1.017")</f>
        <v>http://dx.doi.org/10.5530/jscires.12.1.017</v>
      </c>
      <c r="V109" s="1">
        <v>7</v>
      </c>
      <c r="W109" s="1" t="s">
        <v>1158</v>
      </c>
      <c r="X109" s="1" t="s">
        <v>124</v>
      </c>
      <c r="Y109" s="1" t="s">
        <v>1158</v>
      </c>
      <c r="Z109" s="1" t="s">
        <v>48</v>
      </c>
      <c r="AA109" s="1" t="s">
        <v>1696</v>
      </c>
    </row>
    <row r="110" spans="1:27" s="1" customFormat="1" ht="18.5" x14ac:dyDescent="0.45">
      <c r="A110" s="1" t="s">
        <v>3148</v>
      </c>
      <c r="B110" s="1" t="s">
        <v>3149</v>
      </c>
      <c r="C110" s="1" t="s">
        <v>1801</v>
      </c>
      <c r="D110" s="1" t="s">
        <v>585</v>
      </c>
      <c r="E110" s="2">
        <v>2023</v>
      </c>
      <c r="F110" s="1" t="s">
        <v>3150</v>
      </c>
      <c r="G110" s="1" t="s">
        <v>58</v>
      </c>
      <c r="H110" s="1" t="s">
        <v>3151</v>
      </c>
      <c r="I110" s="1">
        <v>23</v>
      </c>
      <c r="J110" s="1">
        <v>0</v>
      </c>
      <c r="K110" s="1">
        <v>0</v>
      </c>
      <c r="L110" s="1">
        <v>0</v>
      </c>
      <c r="M110" s="1" t="s">
        <v>1805</v>
      </c>
      <c r="N110" s="1" t="s">
        <v>146</v>
      </c>
      <c r="O110" s="1" t="s">
        <v>1806</v>
      </c>
      <c r="P110" s="1" t="s">
        <v>48</v>
      </c>
      <c r="Q110" s="1" t="s">
        <v>48</v>
      </c>
      <c r="R110" s="1" t="s">
        <v>48</v>
      </c>
      <c r="S110" s="1" t="s">
        <v>48</v>
      </c>
      <c r="T110" s="1" t="s">
        <v>3152</v>
      </c>
      <c r="U110" s="1" t="str">
        <f>HYPERLINK("http://dx.doi.org/10.4324/9781003245797-11","http://dx.doi.org/10.4324/9781003245797-11")</f>
        <v>http://dx.doi.org/10.4324/9781003245797-11</v>
      </c>
      <c r="V110" s="1">
        <v>15</v>
      </c>
      <c r="W110" s="1" t="s">
        <v>1808</v>
      </c>
      <c r="X110" s="1" t="s">
        <v>592</v>
      </c>
      <c r="Y110" s="1" t="s">
        <v>1809</v>
      </c>
      <c r="Z110" s="1" t="s">
        <v>48</v>
      </c>
      <c r="AA110" s="1" t="s">
        <v>48</v>
      </c>
    </row>
    <row r="111" spans="1:27" s="1" customFormat="1" ht="18.5" x14ac:dyDescent="0.45">
      <c r="A111" s="1" t="s">
        <v>3177</v>
      </c>
      <c r="B111" s="1" t="s">
        <v>3178</v>
      </c>
      <c r="C111" s="1" t="s">
        <v>3179</v>
      </c>
      <c r="D111" s="1" t="s">
        <v>53</v>
      </c>
      <c r="E111" s="2">
        <v>2023</v>
      </c>
      <c r="F111" s="1" t="s">
        <v>3180</v>
      </c>
      <c r="G111" s="1" t="s">
        <v>115</v>
      </c>
      <c r="H111" s="1" t="s">
        <v>2513</v>
      </c>
      <c r="I111" s="1">
        <v>27</v>
      </c>
      <c r="J111" s="1">
        <v>4</v>
      </c>
      <c r="K111" s="1">
        <v>2</v>
      </c>
      <c r="L111" s="1">
        <v>8</v>
      </c>
      <c r="M111" s="1" t="s">
        <v>132</v>
      </c>
      <c r="N111" s="1" t="s">
        <v>133</v>
      </c>
      <c r="O111" s="1" t="s">
        <v>134</v>
      </c>
      <c r="P111" s="1" t="s">
        <v>48</v>
      </c>
      <c r="Q111" s="1" t="s">
        <v>3181</v>
      </c>
      <c r="R111" s="1">
        <v>13</v>
      </c>
      <c r="S111" s="1">
        <v>1</v>
      </c>
      <c r="T111" s="1" t="s">
        <v>3182</v>
      </c>
      <c r="U111" s="1" t="str">
        <f>HYPERLINK("http://dx.doi.org/10.3390/life13010193","http://dx.doi.org/10.3390/life13010193")</f>
        <v>http://dx.doi.org/10.3390/life13010193</v>
      </c>
      <c r="V111" s="1">
        <v>14</v>
      </c>
      <c r="W111" s="1" t="s">
        <v>3183</v>
      </c>
      <c r="X111" s="1" t="s">
        <v>67</v>
      </c>
      <c r="Y111" s="1" t="s">
        <v>3184</v>
      </c>
      <c r="Z111" s="1">
        <v>36676141</v>
      </c>
      <c r="AA111" s="1" t="s">
        <v>337</v>
      </c>
    </row>
    <row r="112" spans="1:27" s="1" customFormat="1" ht="18.5" x14ac:dyDescent="0.45">
      <c r="A112" s="1" t="s">
        <v>2751</v>
      </c>
      <c r="B112" s="1" t="s">
        <v>3189</v>
      </c>
      <c r="C112" s="1" t="s">
        <v>3190</v>
      </c>
      <c r="D112" s="1" t="s">
        <v>53</v>
      </c>
      <c r="E112" s="2">
        <v>2023</v>
      </c>
      <c r="F112" s="1" t="s">
        <v>3191</v>
      </c>
      <c r="G112" s="1" t="s">
        <v>115</v>
      </c>
      <c r="H112" s="1" t="s">
        <v>3143</v>
      </c>
      <c r="I112" s="1">
        <v>45</v>
      </c>
      <c r="J112" s="1">
        <v>5</v>
      </c>
      <c r="K112" s="1">
        <v>3</v>
      </c>
      <c r="L112" s="1">
        <v>10</v>
      </c>
      <c r="M112" s="1" t="s">
        <v>266</v>
      </c>
      <c r="N112" s="1" t="s">
        <v>267</v>
      </c>
      <c r="O112" s="1" t="s">
        <v>268</v>
      </c>
      <c r="P112" s="1" t="s">
        <v>3192</v>
      </c>
      <c r="Q112" s="1" t="s">
        <v>3193</v>
      </c>
      <c r="R112" s="1">
        <v>588</v>
      </c>
      <c r="S112" s="1" t="s">
        <v>48</v>
      </c>
      <c r="T112" s="1" t="s">
        <v>3194</v>
      </c>
      <c r="U112" s="1" t="str">
        <f>HYPERLINK("http://dx.doi.org/10.1016/j.virol.2023.109887","http://dx.doi.org/10.1016/j.virol.2023.109887")</f>
        <v>http://dx.doi.org/10.1016/j.virol.2023.109887</v>
      </c>
      <c r="V112" s="1">
        <v>8</v>
      </c>
      <c r="W112" s="1" t="s">
        <v>2914</v>
      </c>
      <c r="X112" s="1" t="s">
        <v>67</v>
      </c>
      <c r="Y112" s="1" t="s">
        <v>2914</v>
      </c>
      <c r="Z112" s="1">
        <v>37774603</v>
      </c>
      <c r="AA112" s="1" t="s">
        <v>550</v>
      </c>
    </row>
    <row r="113" spans="1:27" s="1" customFormat="1" ht="18.5" x14ac:dyDescent="0.45">
      <c r="A113" s="1" t="s">
        <v>902</v>
      </c>
      <c r="B113" s="1" t="s">
        <v>3195</v>
      </c>
      <c r="C113" s="1" t="s">
        <v>2917</v>
      </c>
      <c r="D113" s="1" t="s">
        <v>53</v>
      </c>
      <c r="E113" s="2">
        <v>2023</v>
      </c>
      <c r="F113" s="1" t="s">
        <v>3196</v>
      </c>
      <c r="G113" s="1" t="s">
        <v>58</v>
      </c>
      <c r="H113" s="1" t="s">
        <v>906</v>
      </c>
      <c r="I113" s="1">
        <v>32</v>
      </c>
      <c r="J113" s="1">
        <v>4</v>
      </c>
      <c r="K113" s="1">
        <v>1</v>
      </c>
      <c r="L113" s="1">
        <v>1</v>
      </c>
      <c r="M113" s="1" t="s">
        <v>2270</v>
      </c>
      <c r="N113" s="1" t="s">
        <v>2271</v>
      </c>
      <c r="O113" s="1" t="s">
        <v>2272</v>
      </c>
      <c r="P113" s="1" t="s">
        <v>2920</v>
      </c>
      <c r="Q113" s="1" t="s">
        <v>2921</v>
      </c>
      <c r="R113" s="1">
        <v>9</v>
      </c>
      <c r="S113" s="1">
        <v>1</v>
      </c>
      <c r="T113" s="1" t="s">
        <v>3197</v>
      </c>
      <c r="U113" s="1" t="str">
        <f>HYPERLINK("http://dx.doi.org/10.1007/s40899-022-00790-2","http://dx.doi.org/10.1007/s40899-022-00790-2")</f>
        <v>http://dx.doi.org/10.1007/s40899-022-00790-2</v>
      </c>
      <c r="V113" s="1">
        <v>11</v>
      </c>
      <c r="W113" s="1" t="s">
        <v>205</v>
      </c>
      <c r="X113" s="1" t="s">
        <v>124</v>
      </c>
      <c r="Y113" s="1" t="s">
        <v>205</v>
      </c>
      <c r="Z113" s="1">
        <v>36683863</v>
      </c>
      <c r="AA113" s="1" t="s">
        <v>581</v>
      </c>
    </row>
    <row r="114" spans="1:27" s="1" customFormat="1" ht="18.5" x14ac:dyDescent="0.45">
      <c r="A114" s="1" t="s">
        <v>3230</v>
      </c>
      <c r="B114" s="1" t="s">
        <v>3231</v>
      </c>
      <c r="C114" s="1" t="s">
        <v>2618</v>
      </c>
      <c r="D114" s="1" t="s">
        <v>53</v>
      </c>
      <c r="E114" s="2">
        <v>2023</v>
      </c>
      <c r="F114" s="1" t="s">
        <v>3232</v>
      </c>
      <c r="G114" s="1" t="s">
        <v>58</v>
      </c>
      <c r="H114" s="1" t="s">
        <v>3233</v>
      </c>
      <c r="I114" s="1">
        <v>33</v>
      </c>
      <c r="J114" s="1">
        <v>10</v>
      </c>
      <c r="K114" s="1">
        <v>1</v>
      </c>
      <c r="L114" s="1">
        <v>6</v>
      </c>
      <c r="M114" s="1" t="s">
        <v>503</v>
      </c>
      <c r="N114" s="1" t="s">
        <v>542</v>
      </c>
      <c r="O114" s="1" t="s">
        <v>543</v>
      </c>
      <c r="P114" s="1" t="s">
        <v>2623</v>
      </c>
      <c r="Q114" s="1" t="s">
        <v>2624</v>
      </c>
      <c r="R114" s="1">
        <v>34</v>
      </c>
      <c r="S114" s="1">
        <v>8</v>
      </c>
      <c r="T114" s="1" t="s">
        <v>3234</v>
      </c>
      <c r="U114" s="1" t="str">
        <f>HYPERLINK("http://dx.doi.org/10.1007/s10854-023-10169-4","http://dx.doi.org/10.1007/s10854-023-10169-4")</f>
        <v>http://dx.doi.org/10.1007/s10854-023-10169-4</v>
      </c>
      <c r="V114" s="1">
        <v>14</v>
      </c>
      <c r="W114" s="1" t="s">
        <v>2628</v>
      </c>
      <c r="X114" s="1" t="s">
        <v>67</v>
      </c>
      <c r="Y114" s="1" t="s">
        <v>2629</v>
      </c>
      <c r="Z114" s="1" t="s">
        <v>48</v>
      </c>
      <c r="AA114" s="1" t="s">
        <v>48</v>
      </c>
    </row>
    <row r="115" spans="1:27" s="1" customFormat="1" ht="18.5" x14ac:dyDescent="0.45">
      <c r="A115" s="1" t="s">
        <v>3235</v>
      </c>
      <c r="B115" s="1" t="s">
        <v>3236</v>
      </c>
      <c r="C115" s="1" t="s">
        <v>296</v>
      </c>
      <c r="D115" s="1" t="s">
        <v>53</v>
      </c>
      <c r="E115" s="2">
        <v>2023</v>
      </c>
      <c r="F115" s="1" t="s">
        <v>3237</v>
      </c>
      <c r="G115" s="1" t="s">
        <v>58</v>
      </c>
      <c r="H115" s="1" t="s">
        <v>3238</v>
      </c>
      <c r="I115" s="1">
        <v>52</v>
      </c>
      <c r="J115" s="1">
        <v>15</v>
      </c>
      <c r="K115" s="1">
        <v>6</v>
      </c>
      <c r="L115" s="1">
        <v>36</v>
      </c>
      <c r="M115" s="1" t="s">
        <v>198</v>
      </c>
      <c r="N115" s="1" t="s">
        <v>146</v>
      </c>
      <c r="O115" s="1" t="s">
        <v>199</v>
      </c>
      <c r="P115" s="1" t="s">
        <v>299</v>
      </c>
      <c r="Q115" s="1" t="s">
        <v>300</v>
      </c>
      <c r="R115" s="1">
        <v>10</v>
      </c>
      <c r="S115" s="1">
        <v>1</v>
      </c>
      <c r="T115" s="1" t="s">
        <v>3239</v>
      </c>
      <c r="U115" s="1" t="str">
        <f>HYPERLINK("http://dx.doi.org/10.1080/23302674.2022.2113174","http://dx.doi.org/10.1080/23302674.2022.2113174")</f>
        <v>http://dx.doi.org/10.1080/23302674.2022.2113174</v>
      </c>
      <c r="V115" s="1">
        <v>18</v>
      </c>
      <c r="W115" s="1" t="s">
        <v>305</v>
      </c>
      <c r="X115" s="1" t="s">
        <v>67</v>
      </c>
      <c r="Y115" s="1" t="s">
        <v>306</v>
      </c>
      <c r="Z115" s="1" t="s">
        <v>48</v>
      </c>
      <c r="AA115" s="1" t="s">
        <v>48</v>
      </c>
    </row>
    <row r="116" spans="1:27" s="1" customFormat="1" ht="18.5" x14ac:dyDescent="0.45">
      <c r="A116" s="1" t="s">
        <v>2542</v>
      </c>
      <c r="B116" s="1" t="s">
        <v>3256</v>
      </c>
      <c r="C116" s="1" t="s">
        <v>3257</v>
      </c>
      <c r="D116" s="1" t="s">
        <v>1114</v>
      </c>
      <c r="E116" s="2">
        <v>2023</v>
      </c>
      <c r="F116" s="1" t="s">
        <v>3258</v>
      </c>
      <c r="G116" s="1" t="s">
        <v>58</v>
      </c>
      <c r="H116" s="1" t="s">
        <v>3259</v>
      </c>
      <c r="I116" s="1">
        <v>273</v>
      </c>
      <c r="J116" s="1">
        <v>18</v>
      </c>
      <c r="K116" s="1">
        <v>23</v>
      </c>
      <c r="L116" s="1">
        <v>61</v>
      </c>
      <c r="M116" s="1" t="s">
        <v>503</v>
      </c>
      <c r="N116" s="1" t="s">
        <v>542</v>
      </c>
      <c r="O116" s="1" t="s">
        <v>543</v>
      </c>
      <c r="P116" s="1" t="s">
        <v>3260</v>
      </c>
      <c r="Q116" s="1" t="s">
        <v>3261</v>
      </c>
      <c r="R116" s="1">
        <v>25</v>
      </c>
      <c r="S116" s="1">
        <v>4</v>
      </c>
      <c r="T116" s="1" t="s">
        <v>3262</v>
      </c>
      <c r="U116" s="1" t="str">
        <f>HYPERLINK("http://dx.doi.org/10.1007/s11051-023-05701-w","http://dx.doi.org/10.1007/s11051-023-05701-w")</f>
        <v>http://dx.doi.org/10.1007/s11051-023-05701-w</v>
      </c>
      <c r="V116" s="1">
        <v>44</v>
      </c>
      <c r="W116" s="1" t="s">
        <v>3263</v>
      </c>
      <c r="X116" s="1" t="s">
        <v>67</v>
      </c>
      <c r="Y116" s="1" t="s">
        <v>3264</v>
      </c>
      <c r="Z116" s="1" t="s">
        <v>48</v>
      </c>
      <c r="AA116" s="1" t="s">
        <v>48</v>
      </c>
    </row>
    <row r="117" spans="1:27" s="1" customFormat="1" ht="18.5" x14ac:dyDescent="0.45">
      <c r="A117" s="1" t="s">
        <v>3305</v>
      </c>
      <c r="B117" s="1" t="s">
        <v>3306</v>
      </c>
      <c r="C117" s="1" t="s">
        <v>2482</v>
      </c>
      <c r="D117" s="1" t="s">
        <v>53</v>
      </c>
      <c r="E117" s="2">
        <v>2023</v>
      </c>
      <c r="F117" s="1" t="s">
        <v>3307</v>
      </c>
      <c r="G117" s="1" t="s">
        <v>58</v>
      </c>
      <c r="H117" s="1" t="s">
        <v>2484</v>
      </c>
      <c r="I117" s="1">
        <v>58</v>
      </c>
      <c r="J117" s="1">
        <v>2</v>
      </c>
      <c r="K117" s="1">
        <v>0</v>
      </c>
      <c r="L117" s="1">
        <v>10</v>
      </c>
      <c r="M117" s="1" t="s">
        <v>145</v>
      </c>
      <c r="N117" s="1" t="s">
        <v>146</v>
      </c>
      <c r="O117" s="1" t="s">
        <v>147</v>
      </c>
      <c r="P117" s="1" t="s">
        <v>2485</v>
      </c>
      <c r="Q117" s="1" t="s">
        <v>2486</v>
      </c>
      <c r="R117" s="1">
        <v>57</v>
      </c>
      <c r="S117" s="1">
        <v>3</v>
      </c>
      <c r="T117" s="1" t="s">
        <v>3308</v>
      </c>
      <c r="U117" s="1" t="str">
        <f>HYPERLINK("http://dx.doi.org/10.1080/00213624.2023.2238488","http://dx.doi.org/10.1080/00213624.2023.2238488")</f>
        <v>http://dx.doi.org/10.1080/00213624.2023.2238488</v>
      </c>
      <c r="V117" s="1">
        <v>14</v>
      </c>
      <c r="W117" s="1" t="s">
        <v>509</v>
      </c>
      <c r="X117" s="1" t="s">
        <v>106</v>
      </c>
      <c r="Y117" s="1" t="s">
        <v>510</v>
      </c>
      <c r="Z117" s="1" t="s">
        <v>48</v>
      </c>
      <c r="AA117" s="1" t="s">
        <v>48</v>
      </c>
    </row>
    <row r="118" spans="1:27" s="1" customFormat="1" ht="18.5" x14ac:dyDescent="0.45">
      <c r="A118" s="1" t="s">
        <v>3133</v>
      </c>
      <c r="B118" s="1" t="s">
        <v>3358</v>
      </c>
      <c r="C118" s="1" t="s">
        <v>2194</v>
      </c>
      <c r="D118" s="1" t="s">
        <v>53</v>
      </c>
      <c r="E118" s="2">
        <v>2023</v>
      </c>
      <c r="F118" s="1" t="s">
        <v>3359</v>
      </c>
      <c r="G118" s="1" t="s">
        <v>58</v>
      </c>
      <c r="H118" s="1" t="s">
        <v>3273</v>
      </c>
      <c r="I118" s="1">
        <v>80</v>
      </c>
      <c r="J118" s="1">
        <v>2</v>
      </c>
      <c r="K118" s="1">
        <v>0</v>
      </c>
      <c r="L118" s="1">
        <v>2</v>
      </c>
      <c r="M118" s="1" t="s">
        <v>503</v>
      </c>
      <c r="N118" s="1" t="s">
        <v>542</v>
      </c>
      <c r="O118" s="1" t="s">
        <v>543</v>
      </c>
      <c r="P118" s="1" t="s">
        <v>2195</v>
      </c>
      <c r="Q118" s="1" t="s">
        <v>2196</v>
      </c>
      <c r="R118" s="1">
        <v>88</v>
      </c>
      <c r="S118" s="1" t="s">
        <v>3360</v>
      </c>
      <c r="T118" s="1" t="s">
        <v>3361</v>
      </c>
      <c r="U118" s="1" t="str">
        <f>HYPERLINK("http://dx.doi.org/10.1007/s10708-023-10991-7","http://dx.doi.org/10.1007/s10708-023-10991-7")</f>
        <v>http://dx.doi.org/10.1007/s10708-023-10991-7</v>
      </c>
      <c r="V118" s="1">
        <v>23</v>
      </c>
      <c r="W118" s="1" t="s">
        <v>493</v>
      </c>
      <c r="X118" s="1" t="s">
        <v>124</v>
      </c>
      <c r="Y118" s="1" t="s">
        <v>493</v>
      </c>
      <c r="Z118" s="1" t="s">
        <v>48</v>
      </c>
      <c r="AA118" s="1" t="s">
        <v>48</v>
      </c>
    </row>
    <row r="119" spans="1:27" s="1" customFormat="1" ht="18.5" x14ac:dyDescent="0.45">
      <c r="A119" s="1" t="s">
        <v>3362</v>
      </c>
      <c r="B119" s="1" t="s">
        <v>3363</v>
      </c>
      <c r="C119" s="1" t="s">
        <v>3364</v>
      </c>
      <c r="D119" s="1" t="s">
        <v>53</v>
      </c>
      <c r="E119" s="2">
        <v>2023</v>
      </c>
      <c r="F119" s="1" t="s">
        <v>3365</v>
      </c>
      <c r="G119" s="1" t="s">
        <v>58</v>
      </c>
      <c r="H119" s="1" t="s">
        <v>3366</v>
      </c>
      <c r="I119" s="1">
        <v>49</v>
      </c>
      <c r="J119" s="1">
        <v>3</v>
      </c>
      <c r="K119" s="1">
        <v>7</v>
      </c>
      <c r="L119" s="1">
        <v>15</v>
      </c>
      <c r="M119" s="1" t="s">
        <v>132</v>
      </c>
      <c r="N119" s="1" t="s">
        <v>133</v>
      </c>
      <c r="O119" s="1" t="s">
        <v>838</v>
      </c>
      <c r="P119" s="1" t="s">
        <v>48</v>
      </c>
      <c r="Q119" s="1" t="s">
        <v>3367</v>
      </c>
      <c r="R119" s="1">
        <v>13</v>
      </c>
      <c r="S119" s="1">
        <v>8</v>
      </c>
      <c r="T119" s="1" t="s">
        <v>3368</v>
      </c>
      <c r="U119" s="1" t="str">
        <f>HYPERLINK("http://dx.doi.org/10.3390/agriculture13081563","http://dx.doi.org/10.3390/agriculture13081563")</f>
        <v>http://dx.doi.org/10.3390/agriculture13081563</v>
      </c>
      <c r="V119" s="1">
        <v>11</v>
      </c>
      <c r="W119" s="1" t="s">
        <v>3369</v>
      </c>
      <c r="X119" s="1" t="s">
        <v>67</v>
      </c>
      <c r="Y119" s="1" t="s">
        <v>3370</v>
      </c>
      <c r="Z119" s="1" t="s">
        <v>48</v>
      </c>
      <c r="AA119" s="1" t="s">
        <v>125</v>
      </c>
    </row>
    <row r="120" spans="1:27" s="1" customFormat="1" ht="18.5" x14ac:dyDescent="0.45">
      <c r="A120" s="1" t="s">
        <v>3371</v>
      </c>
      <c r="B120" s="1" t="s">
        <v>3372</v>
      </c>
      <c r="C120" s="1" t="s">
        <v>3373</v>
      </c>
      <c r="D120" s="1" t="s">
        <v>53</v>
      </c>
      <c r="E120" s="2">
        <v>2023</v>
      </c>
      <c r="F120" s="1" t="s">
        <v>3374</v>
      </c>
      <c r="G120" s="1" t="s">
        <v>115</v>
      </c>
      <c r="H120" s="1" t="s">
        <v>3375</v>
      </c>
      <c r="I120" s="1">
        <v>53</v>
      </c>
      <c r="J120" s="1">
        <v>2</v>
      </c>
      <c r="K120" s="1">
        <v>0</v>
      </c>
      <c r="L120" s="1">
        <v>3</v>
      </c>
      <c r="M120" s="1" t="s">
        <v>79</v>
      </c>
      <c r="N120" s="1" t="s">
        <v>80</v>
      </c>
      <c r="O120" s="1" t="s">
        <v>81</v>
      </c>
      <c r="P120" s="1" t="s">
        <v>3376</v>
      </c>
      <c r="Q120" s="1" t="s">
        <v>3377</v>
      </c>
      <c r="R120" s="1">
        <v>123</v>
      </c>
      <c r="S120" s="1" t="s">
        <v>48</v>
      </c>
      <c r="T120" s="1" t="s">
        <v>3378</v>
      </c>
      <c r="U120" s="1" t="str">
        <f>HYPERLINK("http://dx.doi.org/10.1016/j.intimp.2023.110636","http://dx.doi.org/10.1016/j.intimp.2023.110636")</f>
        <v>http://dx.doi.org/10.1016/j.intimp.2023.110636</v>
      </c>
      <c r="V120" s="1">
        <v>12</v>
      </c>
      <c r="W120" s="1" t="s">
        <v>3379</v>
      </c>
      <c r="X120" s="1" t="s">
        <v>67</v>
      </c>
      <c r="Y120" s="1" t="s">
        <v>3379</v>
      </c>
      <c r="Z120" s="1">
        <v>37499394</v>
      </c>
      <c r="AA120" s="1" t="s">
        <v>48</v>
      </c>
    </row>
    <row r="121" spans="1:27" s="1" customFormat="1" ht="18.5" x14ac:dyDescent="0.45">
      <c r="A121" s="1" t="s">
        <v>3403</v>
      </c>
      <c r="B121" s="1" t="s">
        <v>3404</v>
      </c>
      <c r="C121" s="1" t="s">
        <v>3405</v>
      </c>
      <c r="D121" s="1" t="s">
        <v>53</v>
      </c>
      <c r="E121" s="2">
        <v>2023</v>
      </c>
      <c r="F121" s="1" t="s">
        <v>3406</v>
      </c>
      <c r="G121" s="1" t="s">
        <v>115</v>
      </c>
      <c r="H121" s="1" t="s">
        <v>3407</v>
      </c>
      <c r="I121" s="1">
        <v>39</v>
      </c>
      <c r="J121" s="1">
        <v>25</v>
      </c>
      <c r="K121" s="1">
        <v>0</v>
      </c>
      <c r="L121" s="1">
        <v>1</v>
      </c>
      <c r="M121" s="1" t="s">
        <v>79</v>
      </c>
      <c r="N121" s="1" t="s">
        <v>80</v>
      </c>
      <c r="O121" s="1" t="s">
        <v>81</v>
      </c>
      <c r="P121" s="1" t="s">
        <v>3408</v>
      </c>
      <c r="Q121" s="1" t="s">
        <v>48</v>
      </c>
      <c r="R121" s="1">
        <v>5</v>
      </c>
      <c r="S121" s="1" t="s">
        <v>48</v>
      </c>
      <c r="T121" s="1" t="s">
        <v>3409</v>
      </c>
      <c r="U121" s="1" t="str">
        <f>HYPERLINK("http://dx.doi.org/10.1016/j.carpta.2023.100286","http://dx.doi.org/10.1016/j.carpta.2023.100286")</f>
        <v>http://dx.doi.org/10.1016/j.carpta.2023.100286</v>
      </c>
      <c r="V121" s="1">
        <v>9</v>
      </c>
      <c r="W121" s="1" t="s">
        <v>3410</v>
      </c>
      <c r="X121" s="1" t="s">
        <v>124</v>
      </c>
      <c r="Y121" s="1" t="s">
        <v>3411</v>
      </c>
      <c r="Z121" s="1" t="s">
        <v>48</v>
      </c>
      <c r="AA121" s="1" t="s">
        <v>125</v>
      </c>
    </row>
    <row r="122" spans="1:27" s="1" customFormat="1" ht="18.5" x14ac:dyDescent="0.45">
      <c r="A122" s="1" t="s">
        <v>3420</v>
      </c>
      <c r="B122" s="1" t="s">
        <v>3421</v>
      </c>
      <c r="C122" s="1" t="s">
        <v>3422</v>
      </c>
      <c r="D122" s="1" t="s">
        <v>53</v>
      </c>
      <c r="E122" s="2">
        <v>2023</v>
      </c>
      <c r="F122" s="1" t="s">
        <v>3423</v>
      </c>
      <c r="G122" s="1" t="s">
        <v>58</v>
      </c>
      <c r="H122" s="1" t="s">
        <v>2479</v>
      </c>
      <c r="I122" s="1">
        <v>48</v>
      </c>
      <c r="J122" s="1">
        <v>1</v>
      </c>
      <c r="K122" s="1">
        <v>0</v>
      </c>
      <c r="L122" s="1">
        <v>1</v>
      </c>
      <c r="M122" s="1" t="s">
        <v>503</v>
      </c>
      <c r="N122" s="1" t="s">
        <v>542</v>
      </c>
      <c r="O122" s="1" t="s">
        <v>543</v>
      </c>
      <c r="P122" s="1" t="s">
        <v>3424</v>
      </c>
      <c r="Q122" s="1" t="s">
        <v>3425</v>
      </c>
      <c r="R122" s="1">
        <v>148</v>
      </c>
      <c r="S122" s="1">
        <v>21</v>
      </c>
      <c r="T122" s="1" t="s">
        <v>3428</v>
      </c>
      <c r="U122" s="1" t="str">
        <f>HYPERLINK("http://dx.doi.org/10.1007/s10973-023-12539-w","http://dx.doi.org/10.1007/s10973-023-12539-w")</f>
        <v>http://dx.doi.org/10.1007/s10973-023-12539-w</v>
      </c>
      <c r="V122" s="1">
        <v>22</v>
      </c>
      <c r="W122" s="1" t="s">
        <v>3429</v>
      </c>
      <c r="X122" s="1" t="s">
        <v>67</v>
      </c>
      <c r="Y122" s="1" t="s">
        <v>3430</v>
      </c>
      <c r="Z122" s="1" t="s">
        <v>48</v>
      </c>
      <c r="AA122" s="1" t="s">
        <v>48</v>
      </c>
    </row>
    <row r="123" spans="1:27" s="1" customFormat="1" ht="18.5" x14ac:dyDescent="0.45">
      <c r="A123" s="1" t="s">
        <v>3431</v>
      </c>
      <c r="B123" s="1" t="s">
        <v>3432</v>
      </c>
      <c r="C123" s="1" t="s">
        <v>2669</v>
      </c>
      <c r="D123" s="1" t="s">
        <v>53</v>
      </c>
      <c r="E123" s="2">
        <v>2023</v>
      </c>
      <c r="F123" s="1" t="s">
        <v>3433</v>
      </c>
      <c r="G123" s="1" t="s">
        <v>58</v>
      </c>
      <c r="H123" s="1" t="s">
        <v>3434</v>
      </c>
      <c r="I123" s="1">
        <v>31</v>
      </c>
      <c r="J123" s="1">
        <v>0</v>
      </c>
      <c r="K123" s="1">
        <v>0</v>
      </c>
      <c r="L123" s="1">
        <v>0</v>
      </c>
      <c r="M123" s="1" t="s">
        <v>748</v>
      </c>
      <c r="N123" s="1" t="s">
        <v>749</v>
      </c>
      <c r="O123" s="1" t="s">
        <v>750</v>
      </c>
      <c r="P123" s="1" t="s">
        <v>2674</v>
      </c>
      <c r="Q123" s="1" t="s">
        <v>2675</v>
      </c>
      <c r="R123" s="1">
        <v>15</v>
      </c>
      <c r="S123" s="1">
        <v>1</v>
      </c>
      <c r="T123" s="1" t="s">
        <v>3435</v>
      </c>
      <c r="U123" s="1" t="str">
        <f>HYPERLINK("http://dx.doi.org/10.1142/S2661335223500077","http://dx.doi.org/10.1142/S2661335223500077")</f>
        <v>http://dx.doi.org/10.1142/S2661335223500077</v>
      </c>
      <c r="V123" s="1">
        <v>10</v>
      </c>
      <c r="W123" s="1" t="s">
        <v>260</v>
      </c>
      <c r="X123" s="1" t="s">
        <v>124</v>
      </c>
      <c r="Y123" s="1" t="s">
        <v>137</v>
      </c>
      <c r="Z123" s="1" t="s">
        <v>48</v>
      </c>
      <c r="AA123" s="1" t="s">
        <v>125</v>
      </c>
    </row>
    <row r="124" spans="1:27" s="1" customFormat="1" ht="18.5" x14ac:dyDescent="0.45">
      <c r="A124" s="1" t="s">
        <v>3436</v>
      </c>
      <c r="B124" s="1" t="s">
        <v>3437</v>
      </c>
      <c r="C124" s="1" t="s">
        <v>3438</v>
      </c>
      <c r="D124" s="1" t="s">
        <v>53</v>
      </c>
      <c r="E124" s="2">
        <v>2023</v>
      </c>
      <c r="F124" s="1" t="s">
        <v>3439</v>
      </c>
      <c r="G124" s="1" t="s">
        <v>515</v>
      </c>
      <c r="H124" s="1" t="s">
        <v>2513</v>
      </c>
      <c r="I124" s="1">
        <v>35</v>
      </c>
      <c r="J124" s="1">
        <v>1</v>
      </c>
      <c r="K124" s="1">
        <v>1</v>
      </c>
      <c r="L124" s="1">
        <v>3</v>
      </c>
      <c r="M124" s="1" t="s">
        <v>198</v>
      </c>
      <c r="N124" s="1" t="s">
        <v>146</v>
      </c>
      <c r="O124" s="1" t="s">
        <v>199</v>
      </c>
      <c r="P124" s="1" t="s">
        <v>3440</v>
      </c>
      <c r="Q124" s="1" t="s">
        <v>3441</v>
      </c>
      <c r="R124" s="1">
        <v>62</v>
      </c>
      <c r="S124" s="1" t="s">
        <v>1514</v>
      </c>
      <c r="T124" s="1" t="s">
        <v>3442</v>
      </c>
      <c r="U124" s="1" t="str">
        <f>HYPERLINK("http://dx.doi.org/10.1080/00173134.2023.2263452","http://dx.doi.org/10.1080/00173134.2023.2263452")</f>
        <v>http://dx.doi.org/10.1080/00173134.2023.2263452</v>
      </c>
      <c r="V124" s="1">
        <v>13</v>
      </c>
      <c r="W124" s="1" t="s">
        <v>426</v>
      </c>
      <c r="X124" s="1" t="s">
        <v>67</v>
      </c>
      <c r="Y124" s="1" t="s">
        <v>426</v>
      </c>
      <c r="Z124" s="1" t="s">
        <v>48</v>
      </c>
      <c r="AA124" s="1" t="s">
        <v>48</v>
      </c>
    </row>
    <row r="125" spans="1:27" s="1" customFormat="1" ht="18.5" x14ac:dyDescent="0.45">
      <c r="A125" s="1" t="s">
        <v>3443</v>
      </c>
      <c r="B125" s="1" t="s">
        <v>3444</v>
      </c>
      <c r="C125" s="1" t="s">
        <v>2194</v>
      </c>
      <c r="D125" s="1" t="s">
        <v>53</v>
      </c>
      <c r="E125" s="2">
        <v>2023</v>
      </c>
      <c r="F125" s="1" t="s">
        <v>3445</v>
      </c>
      <c r="G125" s="1" t="s">
        <v>58</v>
      </c>
      <c r="H125" s="1" t="s">
        <v>3446</v>
      </c>
      <c r="I125" s="1">
        <v>67</v>
      </c>
      <c r="J125" s="1">
        <v>1</v>
      </c>
      <c r="K125" s="1">
        <v>0</v>
      </c>
      <c r="L125" s="1">
        <v>1</v>
      </c>
      <c r="M125" s="1" t="s">
        <v>503</v>
      </c>
      <c r="N125" s="1" t="s">
        <v>542</v>
      </c>
      <c r="O125" s="1" t="s">
        <v>543</v>
      </c>
      <c r="P125" s="1" t="s">
        <v>2195</v>
      </c>
      <c r="Q125" s="1" t="s">
        <v>2196</v>
      </c>
      <c r="R125" s="1">
        <v>88</v>
      </c>
      <c r="S125" s="1">
        <v>5</v>
      </c>
      <c r="T125" s="1" t="s">
        <v>3447</v>
      </c>
      <c r="U125" s="1" t="str">
        <f>HYPERLINK("http://dx.doi.org/10.1007/s10708-023-10893-8","http://dx.doi.org/10.1007/s10708-023-10893-8")</f>
        <v>http://dx.doi.org/10.1007/s10708-023-10893-8</v>
      </c>
      <c r="V125" s="1">
        <v>18</v>
      </c>
      <c r="W125" s="1" t="s">
        <v>493</v>
      </c>
      <c r="X125" s="1" t="s">
        <v>124</v>
      </c>
      <c r="Y125" s="1" t="s">
        <v>493</v>
      </c>
      <c r="Z125" s="1" t="s">
        <v>48</v>
      </c>
      <c r="AA125" s="1" t="s">
        <v>48</v>
      </c>
    </row>
    <row r="126" spans="1:27" s="1" customFormat="1" ht="18.5" x14ac:dyDescent="0.45">
      <c r="A126" s="1" t="s">
        <v>3448</v>
      </c>
      <c r="B126" s="1" t="s">
        <v>3449</v>
      </c>
      <c r="C126" s="1" t="s">
        <v>2737</v>
      </c>
      <c r="D126" s="1" t="s">
        <v>53</v>
      </c>
      <c r="E126" s="2">
        <v>2023</v>
      </c>
      <c r="F126" s="1" t="s">
        <v>3450</v>
      </c>
      <c r="G126" s="1" t="s">
        <v>58</v>
      </c>
      <c r="H126" s="1" t="s">
        <v>3451</v>
      </c>
      <c r="I126" s="1">
        <v>49</v>
      </c>
      <c r="J126" s="1">
        <v>1</v>
      </c>
      <c r="K126" s="1">
        <v>0</v>
      </c>
      <c r="L126" s="1">
        <v>0</v>
      </c>
      <c r="M126" s="1" t="s">
        <v>2741</v>
      </c>
      <c r="N126" s="1" t="s">
        <v>80</v>
      </c>
      <c r="O126" s="1" t="s">
        <v>2742</v>
      </c>
      <c r="P126" s="1" t="s">
        <v>2743</v>
      </c>
      <c r="Q126" s="1" t="s">
        <v>2744</v>
      </c>
      <c r="R126" s="1">
        <v>45</v>
      </c>
      <c r="S126" s="1">
        <v>2</v>
      </c>
      <c r="T126" s="1" t="s">
        <v>3452</v>
      </c>
      <c r="U126" s="1" t="str">
        <f>HYPERLINK("http://dx.doi.org/10.3233/JIFS-223545","http://dx.doi.org/10.3233/JIFS-223545")</f>
        <v>http://dx.doi.org/10.3233/JIFS-223545</v>
      </c>
      <c r="V126" s="1">
        <v>13</v>
      </c>
      <c r="W126" s="1" t="s">
        <v>549</v>
      </c>
      <c r="X126" s="1" t="s">
        <v>67</v>
      </c>
      <c r="Y126" s="1" t="s">
        <v>292</v>
      </c>
      <c r="Z126" s="1" t="s">
        <v>48</v>
      </c>
      <c r="AA126" s="1" t="s">
        <v>48</v>
      </c>
    </row>
    <row r="127" spans="1:27" s="1" customFormat="1" ht="18.5" x14ac:dyDescent="0.45">
      <c r="A127" s="1" t="s">
        <v>3495</v>
      </c>
      <c r="B127" s="1" t="s">
        <v>3496</v>
      </c>
      <c r="C127" s="1" t="s">
        <v>3497</v>
      </c>
      <c r="D127" s="1" t="s">
        <v>53</v>
      </c>
      <c r="E127" s="2">
        <v>2023</v>
      </c>
      <c r="F127" s="1" t="s">
        <v>3498</v>
      </c>
      <c r="G127" s="1" t="s">
        <v>3499</v>
      </c>
      <c r="H127" s="1" t="s">
        <v>3500</v>
      </c>
      <c r="I127" s="1">
        <v>89</v>
      </c>
      <c r="J127" s="1">
        <v>5</v>
      </c>
      <c r="K127" s="1">
        <v>2</v>
      </c>
      <c r="L127" s="1">
        <v>4</v>
      </c>
      <c r="M127" s="1" t="s">
        <v>198</v>
      </c>
      <c r="N127" s="1" t="s">
        <v>146</v>
      </c>
      <c r="O127" s="1" t="s">
        <v>199</v>
      </c>
      <c r="P127" s="1" t="s">
        <v>3501</v>
      </c>
      <c r="Q127" s="1" t="s">
        <v>3502</v>
      </c>
      <c r="R127" s="1">
        <v>65</v>
      </c>
      <c r="S127" s="1">
        <v>4</v>
      </c>
      <c r="T127" s="1" t="s">
        <v>3504</v>
      </c>
      <c r="U127" s="1" t="str">
        <f>HYPERLINK("http://dx.doi.org/10.1080/21664250.2023.2288427","http://dx.doi.org/10.1080/21664250.2023.2288427")</f>
        <v>http://dx.doi.org/10.1080/21664250.2023.2288427</v>
      </c>
      <c r="V127" s="1">
        <v>25</v>
      </c>
      <c r="W127" s="1" t="s">
        <v>3505</v>
      </c>
      <c r="X127" s="1" t="s">
        <v>67</v>
      </c>
      <c r="Y127" s="1" t="s">
        <v>1733</v>
      </c>
      <c r="Z127" s="1" t="s">
        <v>48</v>
      </c>
      <c r="AA127" s="1" t="s">
        <v>48</v>
      </c>
    </row>
    <row r="128" spans="1:27" s="1" customFormat="1" ht="18.5" x14ac:dyDescent="0.45">
      <c r="A128" s="1" t="s">
        <v>3506</v>
      </c>
      <c r="B128" s="1" t="s">
        <v>3507</v>
      </c>
      <c r="C128" s="1" t="s">
        <v>3508</v>
      </c>
      <c r="D128" s="1" t="s">
        <v>53</v>
      </c>
      <c r="E128" s="2">
        <v>2023</v>
      </c>
      <c r="F128" s="1" t="s">
        <v>3509</v>
      </c>
      <c r="G128" s="1" t="s">
        <v>58</v>
      </c>
      <c r="H128" s="1" t="s">
        <v>2330</v>
      </c>
      <c r="I128" s="1">
        <v>55</v>
      </c>
      <c r="J128" s="1">
        <v>6</v>
      </c>
      <c r="K128" s="1">
        <v>5</v>
      </c>
      <c r="L128" s="1">
        <v>15</v>
      </c>
      <c r="M128" s="1" t="s">
        <v>1523</v>
      </c>
      <c r="N128" s="1" t="s">
        <v>632</v>
      </c>
      <c r="O128" s="1" t="s">
        <v>1524</v>
      </c>
      <c r="P128" s="1" t="s">
        <v>3510</v>
      </c>
      <c r="Q128" s="1" t="s">
        <v>3511</v>
      </c>
      <c r="R128" s="1">
        <v>22</v>
      </c>
      <c r="S128" s="1">
        <v>6</v>
      </c>
      <c r="T128" s="1" t="s">
        <v>3512</v>
      </c>
      <c r="U128" s="1" t="str">
        <f>HYPERLINK("http://dx.doi.org/10.1007/s43630-023-00392-7","http://dx.doi.org/10.1007/s43630-023-00392-7")</f>
        <v>http://dx.doi.org/10.1007/s43630-023-00392-7</v>
      </c>
      <c r="V128" s="1">
        <v>13</v>
      </c>
      <c r="W128" s="1" t="s">
        <v>3513</v>
      </c>
      <c r="X128" s="1" t="s">
        <v>3514</v>
      </c>
      <c r="Y128" s="1" t="s">
        <v>3515</v>
      </c>
      <c r="Z128" s="1">
        <v>36805447</v>
      </c>
      <c r="AA128" s="1" t="s">
        <v>48</v>
      </c>
    </row>
    <row r="129" spans="1:27" s="1" customFormat="1" ht="18.5" x14ac:dyDescent="0.45">
      <c r="A129" s="1" t="s">
        <v>3517</v>
      </c>
      <c r="B129" s="1" t="s">
        <v>3518</v>
      </c>
      <c r="C129" s="1" t="s">
        <v>2575</v>
      </c>
      <c r="D129" s="1" t="s">
        <v>53</v>
      </c>
      <c r="E129" s="2">
        <v>2023</v>
      </c>
      <c r="F129" s="1" t="s">
        <v>3519</v>
      </c>
      <c r="G129" s="1" t="s">
        <v>3520</v>
      </c>
      <c r="H129" s="1" t="s">
        <v>3521</v>
      </c>
      <c r="I129" s="1">
        <v>30</v>
      </c>
      <c r="J129" s="1">
        <v>1</v>
      </c>
      <c r="K129" s="1">
        <v>1</v>
      </c>
      <c r="L129" s="1">
        <v>2</v>
      </c>
      <c r="M129" s="1" t="s">
        <v>503</v>
      </c>
      <c r="N129" s="1" t="s">
        <v>542</v>
      </c>
      <c r="O129" s="1" t="s">
        <v>543</v>
      </c>
      <c r="P129" s="1" t="s">
        <v>2581</v>
      </c>
      <c r="Q129" s="1" t="s">
        <v>2582</v>
      </c>
      <c r="R129" s="1">
        <v>82</v>
      </c>
      <c r="S129" s="1">
        <v>5</v>
      </c>
      <c r="T129" s="1" t="s">
        <v>3522</v>
      </c>
      <c r="U129" s="1" t="str">
        <f>HYPERLINK("http://dx.doi.org/10.1007/s11042-022-13594-5","http://dx.doi.org/10.1007/s11042-022-13594-5")</f>
        <v>http://dx.doi.org/10.1007/s11042-022-13594-5</v>
      </c>
      <c r="V129" s="1">
        <v>21</v>
      </c>
      <c r="W129" s="1" t="s">
        <v>2586</v>
      </c>
      <c r="X129" s="1" t="s">
        <v>67</v>
      </c>
      <c r="Y129" s="1" t="s">
        <v>389</v>
      </c>
      <c r="Z129" s="1" t="s">
        <v>48</v>
      </c>
      <c r="AA129" s="1" t="s">
        <v>48</v>
      </c>
    </row>
    <row r="130" spans="1:27" s="1" customFormat="1" ht="18.5" x14ac:dyDescent="0.45">
      <c r="A130" s="1" t="s">
        <v>3523</v>
      </c>
      <c r="B130" s="1" t="s">
        <v>3524</v>
      </c>
      <c r="C130" s="1" t="s">
        <v>3525</v>
      </c>
      <c r="D130" s="1" t="s">
        <v>53</v>
      </c>
      <c r="E130" s="2">
        <v>2023</v>
      </c>
      <c r="F130" s="1" t="s">
        <v>3526</v>
      </c>
      <c r="G130" s="1" t="s">
        <v>3527</v>
      </c>
      <c r="H130" s="1" t="s">
        <v>3528</v>
      </c>
      <c r="I130" s="1">
        <v>56</v>
      </c>
      <c r="J130" s="1">
        <v>3</v>
      </c>
      <c r="K130" s="1">
        <v>1</v>
      </c>
      <c r="L130" s="1">
        <v>5</v>
      </c>
      <c r="M130" s="1" t="s">
        <v>60</v>
      </c>
      <c r="N130" s="1" t="s">
        <v>61</v>
      </c>
      <c r="O130" s="1" t="s">
        <v>62</v>
      </c>
      <c r="P130" s="1" t="s">
        <v>3529</v>
      </c>
      <c r="Q130" s="1" t="s">
        <v>3530</v>
      </c>
      <c r="R130" s="1">
        <v>207</v>
      </c>
      <c r="S130" s="1" t="s">
        <v>48</v>
      </c>
      <c r="T130" s="1" t="s">
        <v>3531</v>
      </c>
      <c r="U130" s="1" t="str">
        <f>HYPERLINK("http://dx.doi.org/10.1016/j.agsy.2023.103638","http://dx.doi.org/10.1016/j.agsy.2023.103638")</f>
        <v>http://dx.doi.org/10.1016/j.agsy.2023.103638</v>
      </c>
      <c r="V130" s="1">
        <v>11</v>
      </c>
      <c r="W130" s="1" t="s">
        <v>3532</v>
      </c>
      <c r="X130" s="1" t="s">
        <v>67</v>
      </c>
      <c r="Y130" s="1" t="s">
        <v>3370</v>
      </c>
      <c r="Z130" s="1" t="s">
        <v>48</v>
      </c>
      <c r="AA130" s="1" t="s">
        <v>48</v>
      </c>
    </row>
    <row r="131" spans="1:27" s="1" customFormat="1" ht="18.5" x14ac:dyDescent="0.45">
      <c r="A131" s="1" t="s">
        <v>3578</v>
      </c>
      <c r="B131" s="1" t="s">
        <v>3579</v>
      </c>
      <c r="C131" s="1" t="s">
        <v>3580</v>
      </c>
      <c r="D131" s="1" t="s">
        <v>53</v>
      </c>
      <c r="E131" s="2">
        <v>2023</v>
      </c>
      <c r="F131" s="1" t="s">
        <v>3581</v>
      </c>
      <c r="G131" s="1" t="s">
        <v>3582</v>
      </c>
      <c r="H131" s="1" t="s">
        <v>3583</v>
      </c>
      <c r="I131" s="1">
        <v>38</v>
      </c>
      <c r="J131" s="1">
        <v>0</v>
      </c>
      <c r="K131" s="1">
        <v>0</v>
      </c>
      <c r="L131" s="1">
        <v>0</v>
      </c>
      <c r="M131" s="1" t="s">
        <v>3584</v>
      </c>
      <c r="N131" s="1" t="s">
        <v>3585</v>
      </c>
      <c r="O131" s="1" t="s">
        <v>3586</v>
      </c>
      <c r="P131" s="1" t="s">
        <v>3587</v>
      </c>
      <c r="Q131" s="1" t="s">
        <v>48</v>
      </c>
      <c r="R131" s="1">
        <v>15</v>
      </c>
      <c r="S131" s="1">
        <v>2</v>
      </c>
      <c r="T131" s="1" t="s">
        <v>3588</v>
      </c>
      <c r="U131" s="1" t="str">
        <f>HYPERLINK("http://dx.doi.org/10.7160/aol.2023.150205","http://dx.doi.org/10.7160/aol.2023.150205")</f>
        <v>http://dx.doi.org/10.7160/aol.2023.150205</v>
      </c>
      <c r="V131" s="1">
        <v>140</v>
      </c>
      <c r="W131" s="1" t="s">
        <v>3589</v>
      </c>
      <c r="X131" s="1" t="s">
        <v>124</v>
      </c>
      <c r="Y131" s="1" t="s">
        <v>3370</v>
      </c>
      <c r="Z131" s="1" t="s">
        <v>48</v>
      </c>
      <c r="AA131" s="1" t="s">
        <v>3590</v>
      </c>
    </row>
    <row r="132" spans="1:27" s="1" customFormat="1" ht="18.5" x14ac:dyDescent="0.45">
      <c r="A132" s="1" t="s">
        <v>3591</v>
      </c>
      <c r="B132" s="1" t="s">
        <v>3592</v>
      </c>
      <c r="C132" s="1" t="s">
        <v>3593</v>
      </c>
      <c r="D132" s="1" t="s">
        <v>53</v>
      </c>
      <c r="E132" s="2">
        <v>2023</v>
      </c>
      <c r="F132" s="1" t="s">
        <v>3594</v>
      </c>
      <c r="G132" s="1" t="s">
        <v>3595</v>
      </c>
      <c r="H132" s="1" t="s">
        <v>3596</v>
      </c>
      <c r="I132" s="1">
        <v>52</v>
      </c>
      <c r="J132" s="1">
        <v>1</v>
      </c>
      <c r="K132" s="1">
        <v>1</v>
      </c>
      <c r="L132" s="1">
        <v>14</v>
      </c>
      <c r="M132" s="1" t="s">
        <v>3597</v>
      </c>
      <c r="N132" s="1" t="s">
        <v>3598</v>
      </c>
      <c r="O132" s="1" t="s">
        <v>3599</v>
      </c>
      <c r="P132" s="1" t="s">
        <v>3600</v>
      </c>
      <c r="Q132" s="1" t="s">
        <v>3601</v>
      </c>
      <c r="R132" s="1">
        <v>98</v>
      </c>
      <c r="S132" s="1">
        <v>5</v>
      </c>
      <c r="T132" s="1" t="s">
        <v>3602</v>
      </c>
      <c r="U132" s="1" t="str">
        <f>HYPERLINK("http://dx.doi.org/10.1088/1402-4896/accb18","http://dx.doi.org/10.1088/1402-4896/accb18")</f>
        <v>http://dx.doi.org/10.1088/1402-4896/accb18</v>
      </c>
      <c r="V132" s="1">
        <v>13</v>
      </c>
      <c r="W132" s="1" t="s">
        <v>669</v>
      </c>
      <c r="X132" s="1" t="s">
        <v>67</v>
      </c>
      <c r="Y132" s="1" t="s">
        <v>670</v>
      </c>
      <c r="Z132" s="1" t="s">
        <v>48</v>
      </c>
      <c r="AA132" s="1" t="s">
        <v>48</v>
      </c>
    </row>
    <row r="133" spans="1:27" s="1" customFormat="1" ht="18.5" x14ac:dyDescent="0.45">
      <c r="A133" s="1" t="s">
        <v>3639</v>
      </c>
      <c r="B133" s="1" t="s">
        <v>3640</v>
      </c>
      <c r="C133" s="1" t="s">
        <v>404</v>
      </c>
      <c r="D133" s="1" t="s">
        <v>53</v>
      </c>
      <c r="E133" s="2">
        <v>2023</v>
      </c>
      <c r="F133" s="1" t="s">
        <v>3641</v>
      </c>
      <c r="G133" s="1" t="s">
        <v>58</v>
      </c>
      <c r="H133" s="1" t="s">
        <v>131</v>
      </c>
      <c r="I133" s="1">
        <v>35</v>
      </c>
      <c r="J133" s="1">
        <v>3</v>
      </c>
      <c r="K133" s="1">
        <v>0</v>
      </c>
      <c r="L133" s="1">
        <v>8</v>
      </c>
      <c r="M133" s="1" t="s">
        <v>410</v>
      </c>
      <c r="N133" s="1" t="s">
        <v>411</v>
      </c>
      <c r="O133" s="1" t="s">
        <v>412</v>
      </c>
      <c r="P133" s="1" t="s">
        <v>413</v>
      </c>
      <c r="Q133" s="1" t="s">
        <v>48</v>
      </c>
      <c r="R133" s="1">
        <v>13</v>
      </c>
      <c r="S133" s="1">
        <v>1</v>
      </c>
      <c r="T133" s="1" t="s">
        <v>3642</v>
      </c>
      <c r="U133" s="1" t="str">
        <f>HYPERLINK("http://dx.doi.org/10.1038/s41598-023-33071-9","http://dx.doi.org/10.1038/s41598-023-33071-9")</f>
        <v>http://dx.doi.org/10.1038/s41598-023-33071-9</v>
      </c>
      <c r="V133" s="1">
        <v>19</v>
      </c>
      <c r="W133" s="1" t="s">
        <v>335</v>
      </c>
      <c r="X133" s="1" t="s">
        <v>67</v>
      </c>
      <c r="Y133" s="1" t="s">
        <v>336</v>
      </c>
      <c r="Z133" s="1">
        <v>37081040</v>
      </c>
      <c r="AA133" s="1" t="s">
        <v>366</v>
      </c>
    </row>
    <row r="134" spans="1:27" s="1" customFormat="1" ht="18.5" x14ac:dyDescent="0.45">
      <c r="A134" s="1" t="s">
        <v>3665</v>
      </c>
      <c r="B134" s="1" t="s">
        <v>3666</v>
      </c>
      <c r="C134" s="1" t="s">
        <v>3667</v>
      </c>
      <c r="D134" s="1" t="s">
        <v>53</v>
      </c>
      <c r="E134" s="2">
        <v>2023</v>
      </c>
      <c r="F134" s="1" t="s">
        <v>3668</v>
      </c>
      <c r="G134" s="1" t="s">
        <v>3669</v>
      </c>
      <c r="H134" s="1" t="s">
        <v>3670</v>
      </c>
      <c r="I134" s="1">
        <v>43</v>
      </c>
      <c r="J134" s="1">
        <v>4</v>
      </c>
      <c r="K134" s="1">
        <v>0</v>
      </c>
      <c r="L134" s="1">
        <v>1</v>
      </c>
      <c r="M134" s="1" t="s">
        <v>503</v>
      </c>
      <c r="N134" s="1" t="s">
        <v>504</v>
      </c>
      <c r="O134" s="1" t="s">
        <v>505</v>
      </c>
      <c r="P134" s="1" t="s">
        <v>3671</v>
      </c>
      <c r="Q134" s="1" t="s">
        <v>48</v>
      </c>
      <c r="R134" s="1" t="s">
        <v>48</v>
      </c>
      <c r="S134" s="1">
        <v>6</v>
      </c>
      <c r="T134" s="1" t="s">
        <v>3672</v>
      </c>
      <c r="U134" s="1" t="str">
        <f>HYPERLINK("http://dx.doi.org/10.1007/JHEP06(2023)009","http://dx.doi.org/10.1007/JHEP06(2023)009")</f>
        <v>http://dx.doi.org/10.1007/JHEP06(2023)009</v>
      </c>
      <c r="V134" s="1">
        <v>35</v>
      </c>
      <c r="W134" s="1" t="s">
        <v>3673</v>
      </c>
      <c r="X134" s="1" t="s">
        <v>67</v>
      </c>
      <c r="Y134" s="1" t="s">
        <v>670</v>
      </c>
      <c r="Z134" s="1" t="s">
        <v>48</v>
      </c>
      <c r="AA134" s="1" t="s">
        <v>125</v>
      </c>
    </row>
    <row r="135" spans="1:27" s="1" customFormat="1" ht="18.5" x14ac:dyDescent="0.45">
      <c r="A135" s="1" t="s">
        <v>3674</v>
      </c>
      <c r="B135" s="1" t="s">
        <v>3675</v>
      </c>
      <c r="C135" s="1" t="s">
        <v>3213</v>
      </c>
      <c r="D135" s="1" t="s">
        <v>53</v>
      </c>
      <c r="E135" s="2">
        <v>2023</v>
      </c>
      <c r="F135" s="1" t="s">
        <v>3676</v>
      </c>
      <c r="G135" s="1" t="s">
        <v>3677</v>
      </c>
      <c r="H135" s="1" t="s">
        <v>3678</v>
      </c>
      <c r="I135" s="1">
        <v>96</v>
      </c>
      <c r="J135" s="1">
        <v>8</v>
      </c>
      <c r="K135" s="1">
        <v>4</v>
      </c>
      <c r="L135" s="1">
        <v>23</v>
      </c>
      <c r="M135" s="1" t="s">
        <v>503</v>
      </c>
      <c r="N135" s="1" t="s">
        <v>542</v>
      </c>
      <c r="O135" s="1" t="s">
        <v>543</v>
      </c>
      <c r="P135" s="1" t="s">
        <v>3218</v>
      </c>
      <c r="Q135" s="1" t="s">
        <v>3219</v>
      </c>
      <c r="R135" s="1">
        <v>39</v>
      </c>
      <c r="S135" s="1">
        <v>10</v>
      </c>
      <c r="T135" s="1" t="s">
        <v>3679</v>
      </c>
      <c r="U135" s="1" t="str">
        <f>HYPERLINK("http://dx.doi.org/10.1007/s11274-023-03714-0","http://dx.doi.org/10.1007/s11274-023-03714-0")</f>
        <v>http://dx.doi.org/10.1007/s11274-023-03714-0</v>
      </c>
      <c r="V135" s="1">
        <v>15</v>
      </c>
      <c r="W135" s="1" t="s">
        <v>1528</v>
      </c>
      <c r="X135" s="1" t="s">
        <v>67</v>
      </c>
      <c r="Y135" s="1" t="s">
        <v>1528</v>
      </c>
      <c r="Z135" s="1">
        <v>37537416</v>
      </c>
      <c r="AA135" s="1" t="s">
        <v>48</v>
      </c>
    </row>
    <row r="136" spans="1:27" s="1" customFormat="1" ht="18.5" x14ac:dyDescent="0.45">
      <c r="A136" s="1" t="s">
        <v>3680</v>
      </c>
      <c r="B136" s="1" t="s">
        <v>3681</v>
      </c>
      <c r="C136" s="1" t="s">
        <v>3682</v>
      </c>
      <c r="D136" s="1" t="s">
        <v>53</v>
      </c>
      <c r="E136" s="2">
        <v>2023</v>
      </c>
      <c r="F136" s="1" t="s">
        <v>3683</v>
      </c>
      <c r="G136" s="1" t="s">
        <v>58</v>
      </c>
      <c r="H136" s="1" t="s">
        <v>3684</v>
      </c>
      <c r="I136" s="1">
        <v>13</v>
      </c>
      <c r="J136" s="1">
        <v>1</v>
      </c>
      <c r="K136" s="1">
        <v>0</v>
      </c>
      <c r="L136" s="1">
        <v>0</v>
      </c>
      <c r="M136" s="1" t="s">
        <v>3685</v>
      </c>
      <c r="N136" s="1" t="s">
        <v>3686</v>
      </c>
      <c r="O136" s="1" t="s">
        <v>3687</v>
      </c>
      <c r="P136" s="1" t="s">
        <v>48</v>
      </c>
      <c r="Q136" s="1" t="s">
        <v>3688</v>
      </c>
      <c r="R136" s="1">
        <v>16</v>
      </c>
      <c r="S136" s="1">
        <v>2</v>
      </c>
      <c r="T136" s="1" t="s">
        <v>3691</v>
      </c>
      <c r="U136" s="1" t="str">
        <f>HYPERLINK("http://dx.doi.org/10.1016/j.japb.2023.03.008","http://dx.doi.org/10.1016/j.japb.2023.03.008")</f>
        <v>http://dx.doi.org/10.1016/j.japb.2023.03.008</v>
      </c>
      <c r="V136" s="1">
        <v>10</v>
      </c>
      <c r="W136" s="1" t="s">
        <v>3692</v>
      </c>
      <c r="X136" s="1" t="s">
        <v>124</v>
      </c>
      <c r="Y136" s="1" t="s">
        <v>3693</v>
      </c>
      <c r="Z136" s="1" t="s">
        <v>48</v>
      </c>
      <c r="AA136" s="1" t="s">
        <v>125</v>
      </c>
    </row>
    <row r="137" spans="1:27" s="1" customFormat="1" ht="18.5" x14ac:dyDescent="0.45">
      <c r="A137" s="1" t="s">
        <v>3694</v>
      </c>
      <c r="B137" s="1" t="s">
        <v>3695</v>
      </c>
      <c r="C137" s="1" t="s">
        <v>1931</v>
      </c>
      <c r="D137" s="1" t="s">
        <v>53</v>
      </c>
      <c r="E137" s="2">
        <v>2023</v>
      </c>
      <c r="F137" s="1" t="s">
        <v>3696</v>
      </c>
      <c r="G137" s="1" t="s">
        <v>3697</v>
      </c>
      <c r="H137" s="1" t="s">
        <v>3698</v>
      </c>
      <c r="I137" s="1">
        <v>26</v>
      </c>
      <c r="J137" s="1">
        <v>31</v>
      </c>
      <c r="K137" s="1">
        <v>5</v>
      </c>
      <c r="L137" s="1">
        <v>34</v>
      </c>
      <c r="M137" s="1" t="s">
        <v>252</v>
      </c>
      <c r="N137" s="1" t="s">
        <v>253</v>
      </c>
      <c r="O137" s="1" t="s">
        <v>254</v>
      </c>
      <c r="P137" s="1" t="s">
        <v>1932</v>
      </c>
      <c r="Q137" s="1" t="s">
        <v>1933</v>
      </c>
      <c r="R137" s="1">
        <v>9</v>
      </c>
      <c r="S137" s="1">
        <v>5</v>
      </c>
      <c r="T137" s="1" t="s">
        <v>3699</v>
      </c>
      <c r="U137" s="1" t="str">
        <f>HYPERLINK("http://dx.doi.org/10.1007/s40747-023-01013-7","http://dx.doi.org/10.1007/s40747-023-01013-7")</f>
        <v>http://dx.doi.org/10.1007/s40747-023-01013-7</v>
      </c>
      <c r="V137" s="1">
        <v>22</v>
      </c>
      <c r="W137" s="1" t="s">
        <v>549</v>
      </c>
      <c r="X137" s="1" t="s">
        <v>67</v>
      </c>
      <c r="Y137" s="1" t="s">
        <v>292</v>
      </c>
      <c r="Z137" s="1" t="s">
        <v>48</v>
      </c>
      <c r="AA137" s="1" t="s">
        <v>125</v>
      </c>
    </row>
    <row r="138" spans="1:27" s="1" customFormat="1" ht="18.5" x14ac:dyDescent="0.45">
      <c r="A138" s="1" t="s">
        <v>3725</v>
      </c>
      <c r="B138" s="1" t="s">
        <v>3726</v>
      </c>
      <c r="C138" s="1" t="s">
        <v>3727</v>
      </c>
      <c r="D138" s="1" t="s">
        <v>53</v>
      </c>
      <c r="E138" s="2">
        <v>2023</v>
      </c>
      <c r="F138" s="1" t="s">
        <v>3728</v>
      </c>
      <c r="G138" s="1" t="s">
        <v>3729</v>
      </c>
      <c r="H138" s="1" t="s">
        <v>3730</v>
      </c>
      <c r="I138" s="1">
        <v>24</v>
      </c>
      <c r="J138" s="1">
        <v>3</v>
      </c>
      <c r="K138" s="1">
        <v>0</v>
      </c>
      <c r="L138" s="1">
        <v>0</v>
      </c>
      <c r="M138" s="1" t="s">
        <v>3731</v>
      </c>
      <c r="N138" s="1" t="s">
        <v>3732</v>
      </c>
      <c r="O138" s="1" t="s">
        <v>3733</v>
      </c>
      <c r="P138" s="1" t="s">
        <v>3734</v>
      </c>
      <c r="Q138" s="1" t="s">
        <v>3735</v>
      </c>
      <c r="R138" s="1">
        <v>11</v>
      </c>
      <c r="S138" s="1">
        <v>2</v>
      </c>
      <c r="T138" s="1" t="s">
        <v>3736</v>
      </c>
      <c r="U138" s="1" t="str">
        <f>HYPERLINK("http://dx.doi.org/10.17017/j.fish.477","http://dx.doi.org/10.17017/j.fish.477")</f>
        <v>http://dx.doi.org/10.17017/j.fish.477</v>
      </c>
      <c r="V138" s="1">
        <v>5</v>
      </c>
      <c r="W138" s="1" t="s">
        <v>2011</v>
      </c>
      <c r="X138" s="1" t="s">
        <v>124</v>
      </c>
      <c r="Y138" s="1" t="s">
        <v>2011</v>
      </c>
      <c r="Z138" s="1" t="s">
        <v>48</v>
      </c>
      <c r="AA138" s="1" t="s">
        <v>125</v>
      </c>
    </row>
    <row r="139" spans="1:27" s="1" customFormat="1" ht="18.5" x14ac:dyDescent="0.45">
      <c r="A139" s="1" t="s">
        <v>3652</v>
      </c>
      <c r="B139" s="1" t="s">
        <v>3737</v>
      </c>
      <c r="C139" s="1" t="s">
        <v>3470</v>
      </c>
      <c r="D139" s="1" t="s">
        <v>53</v>
      </c>
      <c r="E139" s="2">
        <v>2023</v>
      </c>
      <c r="F139" s="1" t="s">
        <v>3738</v>
      </c>
      <c r="G139" s="1" t="s">
        <v>3475</v>
      </c>
      <c r="H139" s="1" t="s">
        <v>3739</v>
      </c>
      <c r="I139" s="1">
        <v>59</v>
      </c>
      <c r="J139" s="1">
        <v>12</v>
      </c>
      <c r="K139" s="1">
        <v>10</v>
      </c>
      <c r="L139" s="1">
        <v>69</v>
      </c>
      <c r="M139" s="1" t="s">
        <v>2989</v>
      </c>
      <c r="N139" s="1" t="s">
        <v>2990</v>
      </c>
      <c r="O139" s="1" t="s">
        <v>2991</v>
      </c>
      <c r="P139" s="1" t="s">
        <v>3477</v>
      </c>
      <c r="Q139" s="1" t="s">
        <v>48</v>
      </c>
      <c r="R139" s="1">
        <v>8</v>
      </c>
      <c r="S139" s="1">
        <v>20</v>
      </c>
      <c r="T139" s="1" t="s">
        <v>3740</v>
      </c>
      <c r="U139" s="1" t="str">
        <f>HYPERLINK("http://dx.doi.org/10.1002/slct.202300878","http://dx.doi.org/10.1002/slct.202300878")</f>
        <v>http://dx.doi.org/10.1002/slct.202300878</v>
      </c>
      <c r="V139" s="1">
        <v>7</v>
      </c>
      <c r="W139" s="1" t="s">
        <v>2292</v>
      </c>
      <c r="X139" s="1" t="s">
        <v>67</v>
      </c>
      <c r="Y139" s="1" t="s">
        <v>2293</v>
      </c>
      <c r="Z139" s="1" t="s">
        <v>48</v>
      </c>
      <c r="AA139" s="1" t="s">
        <v>48</v>
      </c>
    </row>
    <row r="140" spans="1:27" s="1" customFormat="1" ht="18.5" x14ac:dyDescent="0.45">
      <c r="A140" s="1" t="s">
        <v>3741</v>
      </c>
      <c r="B140" s="1" t="s">
        <v>3742</v>
      </c>
      <c r="C140" s="1" t="s">
        <v>1812</v>
      </c>
      <c r="D140" s="1" t="s">
        <v>53</v>
      </c>
      <c r="E140" s="2">
        <v>2023</v>
      </c>
      <c r="F140" s="1" t="s">
        <v>3743</v>
      </c>
      <c r="G140" s="1" t="s">
        <v>3744</v>
      </c>
      <c r="H140" s="1" t="s">
        <v>3745</v>
      </c>
      <c r="I140" s="1">
        <v>48</v>
      </c>
      <c r="J140" s="1">
        <v>1</v>
      </c>
      <c r="K140" s="1">
        <v>0</v>
      </c>
      <c r="L140" s="1">
        <v>6</v>
      </c>
      <c r="M140" s="1" t="s">
        <v>503</v>
      </c>
      <c r="N140" s="1" t="s">
        <v>504</v>
      </c>
      <c r="O140" s="1" t="s">
        <v>505</v>
      </c>
      <c r="P140" s="1" t="s">
        <v>1814</v>
      </c>
      <c r="Q140" s="1" t="s">
        <v>1815</v>
      </c>
      <c r="R140" s="1">
        <v>27</v>
      </c>
      <c r="S140" s="1">
        <v>7</v>
      </c>
      <c r="T140" s="1" t="s">
        <v>3746</v>
      </c>
      <c r="U140" s="1" t="str">
        <f>HYPERLINK("http://dx.doi.org/10.1007/s00500-022-07552-4","http://dx.doi.org/10.1007/s00500-022-07552-4")</f>
        <v>http://dx.doi.org/10.1007/s00500-022-07552-4</v>
      </c>
      <c r="V140" s="1">
        <v>18</v>
      </c>
      <c r="W140" s="1" t="s">
        <v>1746</v>
      </c>
      <c r="X140" s="1" t="s">
        <v>67</v>
      </c>
      <c r="Y140" s="1" t="s">
        <v>292</v>
      </c>
      <c r="Z140" s="1">
        <v>36249952</v>
      </c>
      <c r="AA140" s="1" t="s">
        <v>1003</v>
      </c>
    </row>
    <row r="141" spans="1:27" s="1" customFormat="1" ht="18.5" x14ac:dyDescent="0.45">
      <c r="A141" s="1" t="s">
        <v>3760</v>
      </c>
      <c r="B141" s="1" t="s">
        <v>3761</v>
      </c>
      <c r="C141" s="1" t="s">
        <v>538</v>
      </c>
      <c r="D141" s="1" t="s">
        <v>53</v>
      </c>
      <c r="E141" s="2">
        <v>2023</v>
      </c>
      <c r="F141" s="1" t="s">
        <v>3762</v>
      </c>
      <c r="G141" s="1" t="s">
        <v>3763</v>
      </c>
      <c r="H141" s="1" t="s">
        <v>3091</v>
      </c>
      <c r="I141" s="1">
        <v>70</v>
      </c>
      <c r="J141" s="1">
        <v>10</v>
      </c>
      <c r="K141" s="1">
        <v>7</v>
      </c>
      <c r="L141" s="1">
        <v>22</v>
      </c>
      <c r="M141" s="1" t="s">
        <v>503</v>
      </c>
      <c r="N141" s="1" t="s">
        <v>542</v>
      </c>
      <c r="O141" s="1" t="s">
        <v>543</v>
      </c>
      <c r="P141" s="1" t="s">
        <v>544</v>
      </c>
      <c r="Q141" s="1" t="s">
        <v>545</v>
      </c>
      <c r="R141" s="1">
        <v>56</v>
      </c>
      <c r="S141" s="1" t="s">
        <v>3764</v>
      </c>
      <c r="T141" s="1" t="s">
        <v>3765</v>
      </c>
      <c r="U141" s="1" t="str">
        <f>HYPERLINK("http://dx.doi.org/10.1007/s10462-023-10607-z","http://dx.doi.org/10.1007/s10462-023-10607-z")</f>
        <v>http://dx.doi.org/10.1007/s10462-023-10607-z</v>
      </c>
      <c r="V141" s="1">
        <v>53</v>
      </c>
      <c r="W141" s="1" t="s">
        <v>549</v>
      </c>
      <c r="X141" s="1" t="s">
        <v>67</v>
      </c>
      <c r="Y141" s="1" t="s">
        <v>292</v>
      </c>
      <c r="Z141" s="1" t="s">
        <v>48</v>
      </c>
      <c r="AA141" s="1" t="s">
        <v>48</v>
      </c>
    </row>
    <row r="142" spans="1:27" s="1" customFormat="1" ht="18.5" x14ac:dyDescent="0.45">
      <c r="A142" s="1" t="s">
        <v>3972</v>
      </c>
      <c r="B142" s="1" t="s">
        <v>3973</v>
      </c>
      <c r="C142" s="1" t="s">
        <v>3974</v>
      </c>
      <c r="D142" s="1" t="s">
        <v>53</v>
      </c>
      <c r="E142" s="2">
        <v>2023</v>
      </c>
      <c r="F142" s="1" t="s">
        <v>3975</v>
      </c>
      <c r="G142" s="1" t="s">
        <v>3976</v>
      </c>
      <c r="H142" s="1" t="s">
        <v>3977</v>
      </c>
      <c r="I142" s="1">
        <v>97</v>
      </c>
      <c r="J142" s="1">
        <v>4</v>
      </c>
      <c r="K142" s="1">
        <v>0</v>
      </c>
      <c r="L142" s="1">
        <v>0</v>
      </c>
      <c r="M142" s="1" t="s">
        <v>3597</v>
      </c>
      <c r="N142" s="1" t="s">
        <v>3598</v>
      </c>
      <c r="O142" s="1" t="s">
        <v>3599</v>
      </c>
      <c r="P142" s="1" t="s">
        <v>3978</v>
      </c>
      <c r="Q142" s="1" t="s">
        <v>48</v>
      </c>
      <c r="R142" s="1" t="s">
        <v>48</v>
      </c>
      <c r="S142" s="1">
        <v>10</v>
      </c>
      <c r="T142" s="1" t="s">
        <v>3979</v>
      </c>
      <c r="U142" s="1" t="str">
        <f>HYPERLINK("http://dx.doi.org/10.1088/1475-7516/2023/10/050","http://dx.doi.org/10.1088/1475-7516/2023/10/050")</f>
        <v>http://dx.doi.org/10.1088/1475-7516/2023/10/050</v>
      </c>
      <c r="V142" s="1">
        <v>35</v>
      </c>
      <c r="W142" s="1" t="s">
        <v>3980</v>
      </c>
      <c r="X142" s="1" t="s">
        <v>67</v>
      </c>
      <c r="Y142" s="1" t="s">
        <v>3709</v>
      </c>
      <c r="Z142" s="1" t="s">
        <v>48</v>
      </c>
      <c r="AA142" s="1" t="s">
        <v>2074</v>
      </c>
    </row>
    <row r="143" spans="1:27" s="1" customFormat="1" ht="18.5" x14ac:dyDescent="0.45">
      <c r="A143" s="1" t="s">
        <v>3981</v>
      </c>
      <c r="B143" s="1" t="s">
        <v>3982</v>
      </c>
      <c r="C143" s="1" t="s">
        <v>3983</v>
      </c>
      <c r="D143" s="1" t="s">
        <v>53</v>
      </c>
      <c r="E143" s="2">
        <v>2023</v>
      </c>
      <c r="F143" s="1" t="s">
        <v>3984</v>
      </c>
      <c r="G143" s="1" t="s">
        <v>58</v>
      </c>
      <c r="H143" s="1" t="s">
        <v>3273</v>
      </c>
      <c r="I143" s="1">
        <v>47</v>
      </c>
      <c r="J143" s="1">
        <v>0</v>
      </c>
      <c r="K143" s="1">
        <v>2</v>
      </c>
      <c r="L143" s="1">
        <v>3</v>
      </c>
      <c r="M143" s="1" t="s">
        <v>3985</v>
      </c>
      <c r="N143" s="1" t="s">
        <v>3986</v>
      </c>
      <c r="O143" s="1" t="s">
        <v>3987</v>
      </c>
      <c r="P143" s="1" t="s">
        <v>3988</v>
      </c>
      <c r="Q143" s="1" t="s">
        <v>3989</v>
      </c>
      <c r="R143" s="1">
        <v>30</v>
      </c>
      <c r="S143" s="1">
        <v>1</v>
      </c>
      <c r="T143" s="1" t="s">
        <v>3992</v>
      </c>
      <c r="U143" s="1" t="str">
        <f>HYPERLINK("http://dx.doi.org/10.1504/IJICBM.2023.133564","http://dx.doi.org/10.1504/IJICBM.2023.133564")</f>
        <v>http://dx.doi.org/10.1504/IJICBM.2023.133564</v>
      </c>
      <c r="V143" s="1">
        <v>15</v>
      </c>
      <c r="W143" s="1" t="s">
        <v>1630</v>
      </c>
      <c r="X143" s="1" t="s">
        <v>124</v>
      </c>
      <c r="Y143" s="1" t="s">
        <v>510</v>
      </c>
      <c r="Z143" s="1" t="s">
        <v>48</v>
      </c>
      <c r="AA143" s="1" t="s">
        <v>48</v>
      </c>
    </row>
    <row r="144" spans="1:27" s="1" customFormat="1" ht="18.5" x14ac:dyDescent="0.45">
      <c r="A144" s="1" t="s">
        <v>3517</v>
      </c>
      <c r="B144" s="1" t="s">
        <v>4016</v>
      </c>
      <c r="C144" s="1" t="s">
        <v>2575</v>
      </c>
      <c r="D144" s="1" t="s">
        <v>111</v>
      </c>
      <c r="E144" s="2">
        <v>2023</v>
      </c>
      <c r="F144" s="1" t="s">
        <v>4017</v>
      </c>
      <c r="G144" s="1" t="s">
        <v>3520</v>
      </c>
      <c r="H144" s="1" t="s">
        <v>3907</v>
      </c>
      <c r="I144" s="1">
        <v>37</v>
      </c>
      <c r="J144" s="1">
        <v>2</v>
      </c>
      <c r="K144" s="1">
        <v>0</v>
      </c>
      <c r="L144" s="1">
        <v>1</v>
      </c>
      <c r="M144" s="1" t="s">
        <v>503</v>
      </c>
      <c r="N144" s="1" t="s">
        <v>542</v>
      </c>
      <c r="O144" s="1" t="s">
        <v>543</v>
      </c>
      <c r="P144" s="1" t="s">
        <v>2581</v>
      </c>
      <c r="Q144" s="1" t="s">
        <v>2582</v>
      </c>
      <c r="R144" s="1" t="s">
        <v>48</v>
      </c>
      <c r="S144" s="1" t="s">
        <v>48</v>
      </c>
      <c r="T144" s="1" t="s">
        <v>4018</v>
      </c>
      <c r="U144" s="1" t="str">
        <f>HYPERLINK("http://dx.doi.org/10.1007/s11042-023-15598-1","http://dx.doi.org/10.1007/s11042-023-15598-1")</f>
        <v>http://dx.doi.org/10.1007/s11042-023-15598-1</v>
      </c>
      <c r="V144" s="1">
        <v>24</v>
      </c>
      <c r="W144" s="1" t="s">
        <v>2586</v>
      </c>
      <c r="X144" s="1" t="s">
        <v>67</v>
      </c>
      <c r="Y144" s="1" t="s">
        <v>389</v>
      </c>
      <c r="Z144" s="1" t="s">
        <v>48</v>
      </c>
      <c r="AA144" s="1" t="s">
        <v>48</v>
      </c>
    </row>
    <row r="145" spans="1:27" s="1" customFormat="1" ht="18.5" x14ac:dyDescent="0.45">
      <c r="A145" s="1" t="s">
        <v>4019</v>
      </c>
      <c r="B145" s="1" t="s">
        <v>4020</v>
      </c>
      <c r="C145" s="1" t="s">
        <v>4021</v>
      </c>
      <c r="D145" s="1" t="s">
        <v>3750</v>
      </c>
      <c r="E145" s="2">
        <v>2023</v>
      </c>
      <c r="F145" s="1" t="s">
        <v>4022</v>
      </c>
      <c r="G145" s="1" t="s">
        <v>3810</v>
      </c>
      <c r="H145" s="1" t="s">
        <v>4023</v>
      </c>
      <c r="I145" s="1">
        <v>14</v>
      </c>
      <c r="J145" s="1">
        <v>1</v>
      </c>
      <c r="K145" s="1">
        <v>0</v>
      </c>
      <c r="L145" s="1">
        <v>2</v>
      </c>
      <c r="M145" s="1" t="s">
        <v>3754</v>
      </c>
      <c r="N145" s="1" t="s">
        <v>504</v>
      </c>
      <c r="O145" s="1" t="s">
        <v>3755</v>
      </c>
      <c r="P145" s="1" t="s">
        <v>48</v>
      </c>
      <c r="Q145" s="1" t="s">
        <v>48</v>
      </c>
      <c r="R145" s="1" t="s">
        <v>48</v>
      </c>
      <c r="S145" s="1" t="s">
        <v>48</v>
      </c>
      <c r="T145" s="1" t="s">
        <v>4024</v>
      </c>
      <c r="U145" s="1" t="str">
        <f>HYPERLINK("http://dx.doi.org/10.1109/ICACI58115.2023.10146168","http://dx.doi.org/10.1109/ICACI58115.2023.10146168")</f>
        <v>http://dx.doi.org/10.1109/ICACI58115.2023.10146168</v>
      </c>
      <c r="V145" s="1">
        <v>7</v>
      </c>
      <c r="W145" s="1" t="s">
        <v>2849</v>
      </c>
      <c r="X145" s="1" t="s">
        <v>3758</v>
      </c>
      <c r="Y145" s="1" t="s">
        <v>292</v>
      </c>
      <c r="Z145" s="1" t="s">
        <v>48</v>
      </c>
      <c r="AA145" s="1" t="s">
        <v>48</v>
      </c>
    </row>
    <row r="146" spans="1:27" s="1" customFormat="1" ht="18.5" x14ac:dyDescent="0.45">
      <c r="A146" s="1" t="s">
        <v>4051</v>
      </c>
      <c r="B146" s="1" t="s">
        <v>4052</v>
      </c>
      <c r="C146" s="1" t="s">
        <v>4053</v>
      </c>
      <c r="D146" s="1" t="s">
        <v>53</v>
      </c>
      <c r="E146" s="2">
        <v>2023</v>
      </c>
      <c r="F146" s="1" t="s">
        <v>4054</v>
      </c>
      <c r="G146" s="1" t="s">
        <v>4055</v>
      </c>
      <c r="H146" s="1" t="s">
        <v>1379</v>
      </c>
      <c r="I146" s="1">
        <v>44</v>
      </c>
      <c r="J146" s="1">
        <v>24</v>
      </c>
      <c r="K146" s="1">
        <v>5</v>
      </c>
      <c r="L146" s="1">
        <v>21</v>
      </c>
      <c r="M146" s="1" t="s">
        <v>503</v>
      </c>
      <c r="N146" s="1" t="s">
        <v>542</v>
      </c>
      <c r="O146" s="1" t="s">
        <v>543</v>
      </c>
      <c r="P146" s="1" t="s">
        <v>4056</v>
      </c>
      <c r="Q146" s="1" t="s">
        <v>4057</v>
      </c>
      <c r="R146" s="1">
        <v>326</v>
      </c>
      <c r="S146" s="1">
        <v>1</v>
      </c>
      <c r="T146" s="1" t="s">
        <v>4060</v>
      </c>
      <c r="U146" s="1" t="str">
        <f>HYPERLINK("http://dx.doi.org/10.1007/s10479-023-05347-w","http://dx.doi.org/10.1007/s10479-023-05347-w")</f>
        <v>http://dx.doi.org/10.1007/s10479-023-05347-w</v>
      </c>
      <c r="V146" s="1">
        <v>41</v>
      </c>
      <c r="W146" s="1" t="s">
        <v>580</v>
      </c>
      <c r="X146" s="1" t="s">
        <v>67</v>
      </c>
      <c r="Y146" s="1" t="s">
        <v>580</v>
      </c>
      <c r="Z146" s="1" t="s">
        <v>48</v>
      </c>
      <c r="AA146" s="1" t="s">
        <v>48</v>
      </c>
    </row>
    <row r="147" spans="1:27" s="1" customFormat="1" ht="18.5" x14ac:dyDescent="0.45">
      <c r="A147" s="1" t="s">
        <v>4061</v>
      </c>
      <c r="B147" s="1" t="s">
        <v>4062</v>
      </c>
      <c r="C147" s="1" t="s">
        <v>1639</v>
      </c>
      <c r="D147" s="1" t="s">
        <v>53</v>
      </c>
      <c r="E147" s="2">
        <v>2023</v>
      </c>
      <c r="F147" s="1" t="s">
        <v>4063</v>
      </c>
      <c r="G147" s="1" t="s">
        <v>3582</v>
      </c>
      <c r="H147" s="1" t="s">
        <v>359</v>
      </c>
      <c r="I147" s="1">
        <v>56</v>
      </c>
      <c r="J147" s="1">
        <v>0</v>
      </c>
      <c r="K147" s="1">
        <v>1</v>
      </c>
      <c r="L147" s="1">
        <v>3</v>
      </c>
      <c r="M147" s="1" t="s">
        <v>1523</v>
      </c>
      <c r="N147" s="1" t="s">
        <v>632</v>
      </c>
      <c r="O147" s="1" t="s">
        <v>1524</v>
      </c>
      <c r="P147" s="1" t="s">
        <v>48</v>
      </c>
      <c r="Q147" s="1" t="s">
        <v>1642</v>
      </c>
      <c r="R147" s="1">
        <v>10</v>
      </c>
      <c r="S147" s="1">
        <v>1</v>
      </c>
      <c r="T147" s="1" t="s">
        <v>4064</v>
      </c>
      <c r="U147" s="1" t="str">
        <f>HYPERLINK("http://dx.doi.org/10.1057/s41599-022-01469-x","http://dx.doi.org/10.1057/s41599-022-01469-x")</f>
        <v>http://dx.doi.org/10.1057/s41599-022-01469-x</v>
      </c>
      <c r="V147" s="1">
        <v>13</v>
      </c>
      <c r="W147" s="1" t="s">
        <v>1645</v>
      </c>
      <c r="X147" s="1" t="s">
        <v>611</v>
      </c>
      <c r="Y147" s="1" t="s">
        <v>1646</v>
      </c>
      <c r="Z147" s="1" t="s">
        <v>48</v>
      </c>
      <c r="AA147" s="1" t="s">
        <v>125</v>
      </c>
    </row>
    <row r="148" spans="1:27" s="1" customFormat="1" ht="18.5" x14ac:dyDescent="0.45">
      <c r="A148" s="1" t="s">
        <v>4130</v>
      </c>
      <c r="B148" s="1" t="s">
        <v>4131</v>
      </c>
      <c r="C148" s="1" t="s">
        <v>916</v>
      </c>
      <c r="D148" s="1" t="s">
        <v>53</v>
      </c>
      <c r="E148" s="2">
        <v>2023</v>
      </c>
      <c r="F148" s="1" t="s">
        <v>4132</v>
      </c>
      <c r="G148" s="1" t="s">
        <v>58</v>
      </c>
      <c r="H148" s="1" t="s">
        <v>2513</v>
      </c>
      <c r="I148" s="1">
        <v>18</v>
      </c>
      <c r="J148" s="1">
        <v>0</v>
      </c>
      <c r="K148" s="1">
        <v>0</v>
      </c>
      <c r="L148" s="1">
        <v>1</v>
      </c>
      <c r="M148" s="1" t="s">
        <v>922</v>
      </c>
      <c r="N148" s="1" t="s">
        <v>923</v>
      </c>
      <c r="O148" s="1" t="s">
        <v>924</v>
      </c>
      <c r="P148" s="1" t="s">
        <v>925</v>
      </c>
      <c r="Q148" s="1" t="s">
        <v>48</v>
      </c>
      <c r="R148" s="1">
        <v>10</v>
      </c>
      <c r="S148" s="1">
        <v>3</v>
      </c>
      <c r="T148" s="1" t="s">
        <v>4133</v>
      </c>
      <c r="U148" s="1" t="str">
        <f>HYPERLINK("http://dx.doi.org/10.14719/pst.2293","http://dx.doi.org/10.14719/pst.2293")</f>
        <v>http://dx.doi.org/10.14719/pst.2293</v>
      </c>
      <c r="V148" s="1">
        <v>7</v>
      </c>
      <c r="W148" s="1" t="s">
        <v>426</v>
      </c>
      <c r="X148" s="1" t="s">
        <v>124</v>
      </c>
      <c r="Y148" s="1" t="s">
        <v>426</v>
      </c>
      <c r="Z148" s="1" t="s">
        <v>48</v>
      </c>
      <c r="AA148" s="1" t="s">
        <v>125</v>
      </c>
    </row>
    <row r="149" spans="1:27" s="1" customFormat="1" ht="18.5" x14ac:dyDescent="0.45">
      <c r="A149" s="1" t="s">
        <v>4176</v>
      </c>
      <c r="B149" s="1" t="s">
        <v>4177</v>
      </c>
      <c r="C149" s="1" t="s">
        <v>129</v>
      </c>
      <c r="D149" s="1" t="s">
        <v>53</v>
      </c>
      <c r="E149" s="2">
        <v>2023</v>
      </c>
      <c r="F149" s="1" t="s">
        <v>4178</v>
      </c>
      <c r="G149" s="1" t="s">
        <v>4142</v>
      </c>
      <c r="H149" s="1" t="s">
        <v>4179</v>
      </c>
      <c r="I149" s="1">
        <v>63</v>
      </c>
      <c r="J149" s="1">
        <v>6</v>
      </c>
      <c r="K149" s="1">
        <v>1</v>
      </c>
      <c r="L149" s="1">
        <v>9</v>
      </c>
      <c r="M149" s="1" t="s">
        <v>132</v>
      </c>
      <c r="N149" s="1" t="s">
        <v>133</v>
      </c>
      <c r="O149" s="1" t="s">
        <v>134</v>
      </c>
      <c r="P149" s="1" t="s">
        <v>48</v>
      </c>
      <c r="Q149" s="1" t="s">
        <v>135</v>
      </c>
      <c r="R149" s="1">
        <v>11</v>
      </c>
      <c r="S149" s="1">
        <v>13</v>
      </c>
      <c r="T149" s="1" t="s">
        <v>4180</v>
      </c>
      <c r="U149" s="1" t="str">
        <f>HYPERLINK("http://dx.doi.org/10.3390/math11133011","http://dx.doi.org/10.3390/math11133011")</f>
        <v>http://dx.doi.org/10.3390/math11133011</v>
      </c>
      <c r="V149" s="1">
        <v>37</v>
      </c>
      <c r="W149" s="1" t="s">
        <v>137</v>
      </c>
      <c r="X149" s="1" t="s">
        <v>67</v>
      </c>
      <c r="Y149" s="1" t="s">
        <v>137</v>
      </c>
      <c r="Z149" s="1" t="s">
        <v>48</v>
      </c>
      <c r="AA149" s="1" t="s">
        <v>125</v>
      </c>
    </row>
    <row r="150" spans="1:27" s="1" customFormat="1" ht="18.5" x14ac:dyDescent="0.45">
      <c r="A150" s="1" t="s">
        <v>4203</v>
      </c>
      <c r="B150" s="1" t="s">
        <v>4204</v>
      </c>
      <c r="C150" s="1" t="s">
        <v>1674</v>
      </c>
      <c r="D150" s="1" t="s">
        <v>585</v>
      </c>
      <c r="E150" s="2">
        <v>2023</v>
      </c>
      <c r="F150" s="1" t="s">
        <v>4205</v>
      </c>
      <c r="G150" s="1" t="s">
        <v>58</v>
      </c>
      <c r="H150" s="1" t="s">
        <v>4206</v>
      </c>
      <c r="I150" s="1">
        <v>24</v>
      </c>
      <c r="J150" s="1">
        <v>0</v>
      </c>
      <c r="K150" s="1">
        <v>2</v>
      </c>
      <c r="L150" s="1">
        <v>2</v>
      </c>
      <c r="M150" s="1" t="s">
        <v>530</v>
      </c>
      <c r="N150" s="1" t="s">
        <v>557</v>
      </c>
      <c r="O150" s="1" t="s">
        <v>1677</v>
      </c>
      <c r="P150" s="1" t="s">
        <v>48</v>
      </c>
      <c r="Q150" s="1" t="s">
        <v>48</v>
      </c>
      <c r="R150" s="1" t="s">
        <v>48</v>
      </c>
      <c r="S150" s="1" t="s">
        <v>48</v>
      </c>
      <c r="T150" s="1" t="s">
        <v>4207</v>
      </c>
      <c r="U150" s="1" t="str">
        <f>HYPERLINK("http://dx.doi.org/10.1108/978-1-83753-180-620231019","http://dx.doi.org/10.1108/978-1-83753-180-620231019")</f>
        <v>http://dx.doi.org/10.1108/978-1-83753-180-620231019</v>
      </c>
      <c r="V150" s="1">
        <v>10</v>
      </c>
      <c r="W150" s="1" t="s">
        <v>1679</v>
      </c>
      <c r="X150" s="1" t="s">
        <v>592</v>
      </c>
      <c r="Y150" s="1" t="s">
        <v>1679</v>
      </c>
      <c r="Z150" s="1" t="s">
        <v>48</v>
      </c>
      <c r="AA150" s="1" t="s">
        <v>48</v>
      </c>
    </row>
    <row r="151" spans="1:27" s="1" customFormat="1" ht="18.5" x14ac:dyDescent="0.45">
      <c r="A151" s="1" t="s">
        <v>4248</v>
      </c>
      <c r="B151" s="1" t="s">
        <v>4249</v>
      </c>
      <c r="C151" s="1" t="s">
        <v>72</v>
      </c>
      <c r="D151" s="1" t="s">
        <v>53</v>
      </c>
      <c r="E151" s="2">
        <v>2023</v>
      </c>
      <c r="F151" s="1" t="s">
        <v>4250</v>
      </c>
      <c r="G151" s="1" t="s">
        <v>115</v>
      </c>
      <c r="H151" s="1" t="s">
        <v>2760</v>
      </c>
      <c r="I151" s="1">
        <v>65</v>
      </c>
      <c r="J151" s="1">
        <v>0</v>
      </c>
      <c r="K151" s="1">
        <v>2</v>
      </c>
      <c r="L151" s="1">
        <v>5</v>
      </c>
      <c r="M151" s="1" t="s">
        <v>79</v>
      </c>
      <c r="N151" s="1" t="s">
        <v>80</v>
      </c>
      <c r="O151" s="1" t="s">
        <v>81</v>
      </c>
      <c r="P151" s="1" t="s">
        <v>82</v>
      </c>
      <c r="Q151" s="1" t="s">
        <v>83</v>
      </c>
      <c r="R151" s="1">
        <v>253</v>
      </c>
      <c r="S151" s="1" t="s">
        <v>48</v>
      </c>
      <c r="T151" s="1" t="s">
        <v>4251</v>
      </c>
      <c r="U151" s="1" t="str">
        <f>HYPERLINK("http://dx.doi.org/10.1016/j.ijbiomac.2023.126958","http://dx.doi.org/10.1016/j.ijbiomac.2023.126958")</f>
        <v>http://dx.doi.org/10.1016/j.ijbiomac.2023.126958</v>
      </c>
      <c r="V151" s="1">
        <v>8</v>
      </c>
      <c r="W151" s="1" t="s">
        <v>88</v>
      </c>
      <c r="X151" s="1" t="s">
        <v>67</v>
      </c>
      <c r="Y151" s="1" t="s">
        <v>89</v>
      </c>
      <c r="Z151" s="1">
        <v>37739293</v>
      </c>
      <c r="AA151" s="1" t="s">
        <v>48</v>
      </c>
    </row>
    <row r="152" spans="1:27" s="1" customFormat="1" ht="18.5" x14ac:dyDescent="0.45">
      <c r="A152" s="1" t="s">
        <v>4263</v>
      </c>
      <c r="B152" s="1" t="s">
        <v>4264</v>
      </c>
      <c r="C152" s="1" t="s">
        <v>4265</v>
      </c>
      <c r="D152" s="1" t="s">
        <v>53</v>
      </c>
      <c r="E152" s="2">
        <v>2023</v>
      </c>
      <c r="F152" s="1" t="s">
        <v>4266</v>
      </c>
      <c r="G152" s="1" t="s">
        <v>58</v>
      </c>
      <c r="H152" s="1" t="s">
        <v>2591</v>
      </c>
      <c r="I152" s="1">
        <v>61</v>
      </c>
      <c r="J152" s="1">
        <v>1</v>
      </c>
      <c r="K152" s="1">
        <v>0</v>
      </c>
      <c r="L152" s="1">
        <v>2</v>
      </c>
      <c r="M152" s="1" t="s">
        <v>503</v>
      </c>
      <c r="N152" s="1" t="s">
        <v>504</v>
      </c>
      <c r="O152" s="1" t="s">
        <v>505</v>
      </c>
      <c r="P152" s="1" t="s">
        <v>4267</v>
      </c>
      <c r="Q152" s="1" t="s">
        <v>4268</v>
      </c>
      <c r="R152" s="1">
        <v>29</v>
      </c>
      <c r="S152" s="1">
        <v>11</v>
      </c>
      <c r="T152" s="1" t="s">
        <v>4269</v>
      </c>
      <c r="U152" s="1" t="str">
        <f>HYPERLINK("http://dx.doi.org/10.1007/s00894-023-05755-6","http://dx.doi.org/10.1007/s00894-023-05755-6")</f>
        <v>http://dx.doi.org/10.1007/s00894-023-05755-6</v>
      </c>
      <c r="V152" s="1">
        <v>15</v>
      </c>
      <c r="W152" s="1" t="s">
        <v>4270</v>
      </c>
      <c r="X152" s="1" t="s">
        <v>67</v>
      </c>
      <c r="Y152" s="1" t="s">
        <v>4271</v>
      </c>
      <c r="Z152" s="1">
        <v>37889349</v>
      </c>
      <c r="AA152" s="1" t="s">
        <v>48</v>
      </c>
    </row>
    <row r="153" spans="1:27" s="1" customFormat="1" ht="18.5" x14ac:dyDescent="0.45">
      <c r="A153" s="1" t="s">
        <v>3639</v>
      </c>
      <c r="B153" s="1" t="s">
        <v>4272</v>
      </c>
      <c r="C153" s="1" t="s">
        <v>4273</v>
      </c>
      <c r="D153" s="1" t="s">
        <v>53</v>
      </c>
      <c r="E153" s="2">
        <v>2023</v>
      </c>
      <c r="F153" s="1" t="s">
        <v>4274</v>
      </c>
      <c r="G153" s="1" t="s">
        <v>58</v>
      </c>
      <c r="H153" s="1" t="s">
        <v>4275</v>
      </c>
      <c r="I153" s="1">
        <v>37</v>
      </c>
      <c r="J153" s="1">
        <v>2</v>
      </c>
      <c r="K153" s="1">
        <v>0</v>
      </c>
      <c r="L153" s="1">
        <v>2</v>
      </c>
      <c r="M153" s="1" t="s">
        <v>4276</v>
      </c>
      <c r="N153" s="1" t="s">
        <v>4277</v>
      </c>
      <c r="O153" s="1" t="s">
        <v>4278</v>
      </c>
      <c r="P153" s="1" t="s">
        <v>4279</v>
      </c>
      <c r="Q153" s="1" t="s">
        <v>48</v>
      </c>
      <c r="R153" s="1">
        <v>11</v>
      </c>
      <c r="S153" s="1" t="s">
        <v>48</v>
      </c>
      <c r="T153" s="1" t="s">
        <v>4280</v>
      </c>
      <c r="U153" s="1" t="str">
        <f>HYPERLINK("http://dx.doi.org/10.1109/ACCESS.2023.3339220","http://dx.doi.org/10.1109/ACCESS.2023.3339220")</f>
        <v>http://dx.doi.org/10.1109/ACCESS.2023.3339220</v>
      </c>
      <c r="V153" s="1">
        <v>15</v>
      </c>
      <c r="W153" s="1" t="s">
        <v>4281</v>
      </c>
      <c r="X153" s="1" t="s">
        <v>67</v>
      </c>
      <c r="Y153" s="1" t="s">
        <v>4282</v>
      </c>
      <c r="Z153" s="1" t="s">
        <v>48</v>
      </c>
      <c r="AA153" s="1" t="s">
        <v>125</v>
      </c>
    </row>
    <row r="154" spans="1:27" s="1" customFormat="1" ht="18.5" x14ac:dyDescent="0.45">
      <c r="A154" s="1" t="s">
        <v>4283</v>
      </c>
      <c r="B154" s="1" t="s">
        <v>4284</v>
      </c>
      <c r="C154" s="1" t="s">
        <v>369</v>
      </c>
      <c r="D154" s="1" t="s">
        <v>53</v>
      </c>
      <c r="E154" s="2">
        <v>2023</v>
      </c>
      <c r="F154" s="1" t="s">
        <v>4285</v>
      </c>
      <c r="G154" s="1" t="s">
        <v>58</v>
      </c>
      <c r="H154" s="1" t="s">
        <v>131</v>
      </c>
      <c r="I154" s="1">
        <v>57</v>
      </c>
      <c r="J154" s="1">
        <v>0</v>
      </c>
      <c r="K154" s="1">
        <v>0</v>
      </c>
      <c r="L154" s="1">
        <v>1</v>
      </c>
      <c r="M154" s="1" t="s">
        <v>371</v>
      </c>
      <c r="N154" s="1" t="s">
        <v>372</v>
      </c>
      <c r="O154" s="1" t="s">
        <v>373</v>
      </c>
      <c r="P154" s="1" t="s">
        <v>374</v>
      </c>
      <c r="Q154" s="1" t="s">
        <v>48</v>
      </c>
      <c r="R154" s="1">
        <v>13</v>
      </c>
      <c r="S154" s="1">
        <v>2</v>
      </c>
      <c r="T154" s="1" t="s">
        <v>48</v>
      </c>
      <c r="U154" s="1" t="s">
        <v>48</v>
      </c>
      <c r="V154" s="1">
        <v>14</v>
      </c>
      <c r="W154" s="1" t="s">
        <v>260</v>
      </c>
      <c r="X154" s="1" t="s">
        <v>124</v>
      </c>
      <c r="Y154" s="1" t="s">
        <v>137</v>
      </c>
      <c r="Z154" s="1" t="s">
        <v>48</v>
      </c>
      <c r="AA154" s="1" t="s">
        <v>48</v>
      </c>
    </row>
    <row r="155" spans="1:27" s="1" customFormat="1" ht="18.5" x14ac:dyDescent="0.45">
      <c r="A155" s="1" t="s">
        <v>3495</v>
      </c>
      <c r="B155" s="1" t="s">
        <v>4370</v>
      </c>
      <c r="C155" s="1" t="s">
        <v>4371</v>
      </c>
      <c r="D155" s="1" t="s">
        <v>53</v>
      </c>
      <c r="E155" s="2">
        <v>2023</v>
      </c>
      <c r="F155" s="1" t="s">
        <v>4372</v>
      </c>
      <c r="G155" s="1" t="s">
        <v>3499</v>
      </c>
      <c r="H155" s="1" t="s">
        <v>3721</v>
      </c>
      <c r="I155" s="1">
        <v>56</v>
      </c>
      <c r="J155" s="1">
        <v>3</v>
      </c>
      <c r="K155" s="1">
        <v>1</v>
      </c>
      <c r="L155" s="1">
        <v>2</v>
      </c>
      <c r="M155" s="1" t="s">
        <v>503</v>
      </c>
      <c r="N155" s="1" t="s">
        <v>542</v>
      </c>
      <c r="O155" s="1" t="s">
        <v>543</v>
      </c>
      <c r="P155" s="1" t="s">
        <v>4373</v>
      </c>
      <c r="Q155" s="1" t="s">
        <v>4374</v>
      </c>
      <c r="R155" s="1">
        <v>58</v>
      </c>
      <c r="S155" s="1">
        <v>12</v>
      </c>
      <c r="T155" s="1" t="s">
        <v>4375</v>
      </c>
      <c r="U155" s="1" t="str">
        <f>HYPERLINK("http://dx.doi.org/10.1007/s11012-023-01728-4","http://dx.doi.org/10.1007/s11012-023-01728-4")</f>
        <v>http://dx.doi.org/10.1007/s11012-023-01728-4</v>
      </c>
      <c r="V155" s="1">
        <v>21</v>
      </c>
      <c r="W155" s="1" t="s">
        <v>4376</v>
      </c>
      <c r="X155" s="1" t="s">
        <v>67</v>
      </c>
      <c r="Y155" s="1" t="s">
        <v>4376</v>
      </c>
      <c r="Z155" s="1" t="s">
        <v>48</v>
      </c>
      <c r="AA155" s="1" t="s">
        <v>48</v>
      </c>
    </row>
    <row r="156" spans="1:27" s="1" customFormat="1" ht="18.5" x14ac:dyDescent="0.45">
      <c r="A156" s="1" t="s">
        <v>3603</v>
      </c>
      <c r="B156" s="1" t="s">
        <v>4377</v>
      </c>
      <c r="C156" s="1" t="s">
        <v>2575</v>
      </c>
      <c r="D156" s="1" t="s">
        <v>111</v>
      </c>
      <c r="E156" s="2">
        <v>2023</v>
      </c>
      <c r="F156" s="1" t="s">
        <v>4378</v>
      </c>
      <c r="G156" s="1" t="s">
        <v>3607</v>
      </c>
      <c r="H156" s="1" t="s">
        <v>4379</v>
      </c>
      <c r="I156" s="1">
        <v>72</v>
      </c>
      <c r="J156" s="1">
        <v>2</v>
      </c>
      <c r="K156" s="1">
        <v>1</v>
      </c>
      <c r="L156" s="1">
        <v>2</v>
      </c>
      <c r="M156" s="1" t="s">
        <v>503</v>
      </c>
      <c r="N156" s="1" t="s">
        <v>542</v>
      </c>
      <c r="O156" s="1" t="s">
        <v>543</v>
      </c>
      <c r="P156" s="1" t="s">
        <v>2581</v>
      </c>
      <c r="Q156" s="1" t="s">
        <v>2582</v>
      </c>
      <c r="R156" s="1" t="s">
        <v>48</v>
      </c>
      <c r="S156" s="1" t="s">
        <v>48</v>
      </c>
      <c r="T156" s="1" t="s">
        <v>4380</v>
      </c>
      <c r="U156" s="1" t="str">
        <f>HYPERLINK("http://dx.doi.org/10.1007/s11042-023-17014-0","http://dx.doi.org/10.1007/s11042-023-17014-0")</f>
        <v>http://dx.doi.org/10.1007/s11042-023-17014-0</v>
      </c>
      <c r="V156" s="1">
        <v>38</v>
      </c>
      <c r="W156" s="1" t="s">
        <v>2586</v>
      </c>
      <c r="X156" s="1" t="s">
        <v>67</v>
      </c>
      <c r="Y156" s="1" t="s">
        <v>389</v>
      </c>
      <c r="Z156" s="1" t="s">
        <v>48</v>
      </c>
      <c r="AA156" s="1" t="s">
        <v>48</v>
      </c>
    </row>
    <row r="157" spans="1:27" s="1" customFormat="1" ht="18.5" x14ac:dyDescent="0.45">
      <c r="A157" s="1" t="s">
        <v>4381</v>
      </c>
      <c r="B157" s="1" t="s">
        <v>4382</v>
      </c>
      <c r="C157" s="1" t="s">
        <v>4383</v>
      </c>
      <c r="D157" s="1" t="s">
        <v>53</v>
      </c>
      <c r="E157" s="2">
        <v>2023</v>
      </c>
      <c r="F157" s="1" t="s">
        <v>4384</v>
      </c>
      <c r="G157" s="1" t="s">
        <v>3810</v>
      </c>
      <c r="H157" s="1" t="s">
        <v>4385</v>
      </c>
      <c r="I157" s="1">
        <v>22</v>
      </c>
      <c r="J157" s="1">
        <v>0</v>
      </c>
      <c r="K157" s="1">
        <v>2</v>
      </c>
      <c r="L157" s="1">
        <v>2</v>
      </c>
      <c r="M157" s="1" t="s">
        <v>198</v>
      </c>
      <c r="N157" s="1" t="s">
        <v>146</v>
      </c>
      <c r="O157" s="1" t="s">
        <v>199</v>
      </c>
      <c r="P157" s="1" t="s">
        <v>4386</v>
      </c>
      <c r="Q157" s="1" t="s">
        <v>4387</v>
      </c>
      <c r="R157" s="1">
        <v>69</v>
      </c>
      <c r="S157" s="1">
        <v>9</v>
      </c>
      <c r="T157" s="1" t="s">
        <v>4388</v>
      </c>
      <c r="U157" s="1" t="str">
        <f>HYPERLINK("http://dx.doi.org/10.1080/03772063.2023.2220310","http://dx.doi.org/10.1080/03772063.2023.2220310")</f>
        <v>http://dx.doi.org/10.1080/03772063.2023.2220310</v>
      </c>
      <c r="V157" s="1">
        <v>9</v>
      </c>
      <c r="W157" s="1" t="s">
        <v>4389</v>
      </c>
      <c r="X157" s="1" t="s">
        <v>67</v>
      </c>
      <c r="Y157" s="1" t="s">
        <v>3759</v>
      </c>
      <c r="Z157" s="1" t="s">
        <v>48</v>
      </c>
      <c r="AA157" s="1" t="s">
        <v>48</v>
      </c>
    </row>
    <row r="158" spans="1:27" s="1" customFormat="1" ht="18.5" x14ac:dyDescent="0.45">
      <c r="A158" s="1" t="s">
        <v>4390</v>
      </c>
      <c r="B158" s="1" t="s">
        <v>4391</v>
      </c>
      <c r="C158" s="1" t="s">
        <v>3702</v>
      </c>
      <c r="D158" s="1" t="s">
        <v>53</v>
      </c>
      <c r="E158" s="2">
        <v>2023</v>
      </c>
      <c r="F158" s="1" t="s">
        <v>4392</v>
      </c>
      <c r="G158" s="1" t="s">
        <v>4225</v>
      </c>
      <c r="H158" s="1" t="s">
        <v>4226</v>
      </c>
      <c r="I158" s="1">
        <v>79</v>
      </c>
      <c r="J158" s="1">
        <v>2</v>
      </c>
      <c r="K158" s="1">
        <v>0</v>
      </c>
      <c r="L158" s="1">
        <v>0</v>
      </c>
      <c r="M158" s="1" t="s">
        <v>2331</v>
      </c>
      <c r="N158" s="1" t="s">
        <v>504</v>
      </c>
      <c r="O158" s="1" t="s">
        <v>2332</v>
      </c>
      <c r="P158" s="1" t="s">
        <v>3705</v>
      </c>
      <c r="Q158" s="1" t="s">
        <v>3706</v>
      </c>
      <c r="R158" s="1">
        <v>55</v>
      </c>
      <c r="S158" s="1">
        <v>6</v>
      </c>
      <c r="T158" s="1" t="s">
        <v>4393</v>
      </c>
      <c r="U158" s="1" t="str">
        <f>HYPERLINK("http://dx.doi.org/10.1007/s10714-023-03126-3","http://dx.doi.org/10.1007/s10714-023-03126-3")</f>
        <v>http://dx.doi.org/10.1007/s10714-023-03126-3</v>
      </c>
      <c r="V158" s="1">
        <v>15</v>
      </c>
      <c r="W158" s="1" t="s">
        <v>3708</v>
      </c>
      <c r="X158" s="1" t="s">
        <v>67</v>
      </c>
      <c r="Y158" s="1" t="s">
        <v>3709</v>
      </c>
      <c r="Z158" s="1" t="s">
        <v>48</v>
      </c>
      <c r="AA158" s="1" t="s">
        <v>48</v>
      </c>
    </row>
    <row r="159" spans="1:27" s="1" customFormat="1" ht="18.5" x14ac:dyDescent="0.45">
      <c r="A159" s="1" t="s">
        <v>4453</v>
      </c>
      <c r="B159" s="1" t="s">
        <v>4454</v>
      </c>
      <c r="C159" s="1" t="s">
        <v>4455</v>
      </c>
      <c r="D159" s="1" t="s">
        <v>1114</v>
      </c>
      <c r="E159" s="2">
        <v>2023</v>
      </c>
      <c r="F159" s="1" t="s">
        <v>4456</v>
      </c>
      <c r="G159" s="1" t="s">
        <v>4457</v>
      </c>
      <c r="H159" s="1" t="s">
        <v>4458</v>
      </c>
      <c r="I159" s="1">
        <v>71</v>
      </c>
      <c r="J159" s="1">
        <v>0</v>
      </c>
      <c r="K159" s="1">
        <v>0</v>
      </c>
      <c r="L159" s="1">
        <v>1</v>
      </c>
      <c r="M159" s="1" t="s">
        <v>4459</v>
      </c>
      <c r="N159" s="1" t="s">
        <v>4460</v>
      </c>
      <c r="O159" s="1" t="s">
        <v>4461</v>
      </c>
      <c r="P159" s="1" t="s">
        <v>4462</v>
      </c>
      <c r="Q159" s="1" t="s">
        <v>4463</v>
      </c>
      <c r="R159" s="1">
        <v>5278</v>
      </c>
      <c r="S159" s="1">
        <v>3</v>
      </c>
      <c r="T159" s="1" t="s">
        <v>4465</v>
      </c>
      <c r="U159" s="1" t="str">
        <f>HYPERLINK("http://dx.doi.org/10.11646/zootaxa.5278.3.4","http://dx.doi.org/10.11646/zootaxa.5278.3.4")</f>
        <v>http://dx.doi.org/10.11646/zootaxa.5278.3.4</v>
      </c>
      <c r="V159" s="1">
        <v>18</v>
      </c>
      <c r="W159" s="1" t="s">
        <v>4466</v>
      </c>
      <c r="X159" s="1" t="s">
        <v>67</v>
      </c>
      <c r="Y159" s="1" t="s">
        <v>4466</v>
      </c>
      <c r="Z159" s="1">
        <v>37518761</v>
      </c>
      <c r="AA159" s="1" t="s">
        <v>48</v>
      </c>
    </row>
    <row r="160" spans="1:27" s="1" customFormat="1" ht="18.5" x14ac:dyDescent="0.45">
      <c r="A160" s="1" t="s">
        <v>4467</v>
      </c>
      <c r="B160" s="1" t="s">
        <v>4468</v>
      </c>
      <c r="C160" s="1" t="s">
        <v>1018</v>
      </c>
      <c r="D160" s="1" t="s">
        <v>53</v>
      </c>
      <c r="E160" s="2">
        <v>2023</v>
      </c>
      <c r="F160" s="1" t="s">
        <v>4469</v>
      </c>
      <c r="G160" s="1" t="s">
        <v>58</v>
      </c>
      <c r="H160" s="1" t="s">
        <v>4470</v>
      </c>
      <c r="I160" s="1">
        <v>70</v>
      </c>
      <c r="J160" s="1">
        <v>36</v>
      </c>
      <c r="K160" s="1">
        <v>1</v>
      </c>
      <c r="L160" s="1">
        <v>10</v>
      </c>
      <c r="M160" s="1" t="s">
        <v>252</v>
      </c>
      <c r="N160" s="1" t="s">
        <v>253</v>
      </c>
      <c r="O160" s="1" t="s">
        <v>254</v>
      </c>
      <c r="P160" s="1" t="s">
        <v>1024</v>
      </c>
      <c r="Q160" s="1" t="s">
        <v>1025</v>
      </c>
      <c r="R160" s="1">
        <v>30</v>
      </c>
      <c r="S160" s="1">
        <v>5</v>
      </c>
      <c r="T160" s="1" t="s">
        <v>4471</v>
      </c>
      <c r="U160" s="1" t="str">
        <f>HYPERLINK("http://dx.doi.org/10.1007/s11356-022-22912-1","http://dx.doi.org/10.1007/s11356-022-22912-1")</f>
        <v>http://dx.doi.org/10.1007/s11356-022-22912-1</v>
      </c>
      <c r="V160" s="1">
        <v>13</v>
      </c>
      <c r="W160" s="1" t="s">
        <v>438</v>
      </c>
      <c r="X160" s="1" t="s">
        <v>67</v>
      </c>
      <c r="Y160" s="1" t="s">
        <v>439</v>
      </c>
      <c r="Z160" s="1">
        <v>36098924</v>
      </c>
      <c r="AA160" s="1" t="s">
        <v>48</v>
      </c>
    </row>
    <row r="161" spans="1:27" s="1" customFormat="1" ht="18.5" x14ac:dyDescent="0.45">
      <c r="A161" s="1" t="s">
        <v>4492</v>
      </c>
      <c r="B161" s="1" t="s">
        <v>4493</v>
      </c>
      <c r="C161" s="1" t="s">
        <v>404</v>
      </c>
      <c r="D161" s="1" t="s">
        <v>53</v>
      </c>
      <c r="E161" s="2">
        <v>2023</v>
      </c>
      <c r="F161" s="1" t="s">
        <v>4494</v>
      </c>
      <c r="G161" s="1" t="s">
        <v>3475</v>
      </c>
      <c r="H161" s="1" t="s">
        <v>4495</v>
      </c>
      <c r="I161" s="1">
        <v>73</v>
      </c>
      <c r="J161" s="1">
        <v>23</v>
      </c>
      <c r="K161" s="1">
        <v>3</v>
      </c>
      <c r="L161" s="1">
        <v>12</v>
      </c>
      <c r="M161" s="1" t="s">
        <v>410</v>
      </c>
      <c r="N161" s="1" t="s">
        <v>411</v>
      </c>
      <c r="O161" s="1" t="s">
        <v>412</v>
      </c>
      <c r="P161" s="1" t="s">
        <v>413</v>
      </c>
      <c r="Q161" s="1" t="s">
        <v>48</v>
      </c>
      <c r="R161" s="1">
        <v>13</v>
      </c>
      <c r="S161" s="1">
        <v>1</v>
      </c>
      <c r="T161" s="1" t="s">
        <v>4496</v>
      </c>
      <c r="U161" s="1" t="str">
        <f>HYPERLINK("http://dx.doi.org/10.1038/s41598-023-46120-0","http://dx.doi.org/10.1038/s41598-023-46120-0")</f>
        <v>http://dx.doi.org/10.1038/s41598-023-46120-0</v>
      </c>
      <c r="V161" s="1">
        <v>13</v>
      </c>
      <c r="W161" s="1" t="s">
        <v>335</v>
      </c>
      <c r="X161" s="1" t="s">
        <v>67</v>
      </c>
      <c r="Y161" s="1" t="s">
        <v>336</v>
      </c>
      <c r="Z161" s="1">
        <v>37923790</v>
      </c>
      <c r="AA161" s="1" t="s">
        <v>337</v>
      </c>
    </row>
    <row r="162" spans="1:27" s="1" customFormat="1" ht="18.5" x14ac:dyDescent="0.45">
      <c r="A162" s="1" t="s">
        <v>4497</v>
      </c>
      <c r="B162" s="1" t="s">
        <v>4498</v>
      </c>
      <c r="C162" s="1" t="s">
        <v>4499</v>
      </c>
      <c r="D162" s="1" t="s">
        <v>1802</v>
      </c>
      <c r="E162" s="2">
        <v>2023</v>
      </c>
      <c r="F162" s="1" t="s">
        <v>4500</v>
      </c>
      <c r="G162" s="1" t="s">
        <v>3487</v>
      </c>
      <c r="H162" s="1" t="s">
        <v>4501</v>
      </c>
      <c r="I162" s="1">
        <v>240</v>
      </c>
      <c r="J162" s="1">
        <v>0</v>
      </c>
      <c r="K162" s="1">
        <v>0</v>
      </c>
      <c r="L162" s="1">
        <v>0</v>
      </c>
      <c r="M162" s="1" t="s">
        <v>1805</v>
      </c>
      <c r="N162" s="1" t="s">
        <v>146</v>
      </c>
      <c r="O162" s="1" t="s">
        <v>1806</v>
      </c>
      <c r="P162" s="1" t="s">
        <v>48</v>
      </c>
      <c r="Q162" s="1" t="s">
        <v>48</v>
      </c>
      <c r="R162" s="1" t="s">
        <v>48</v>
      </c>
      <c r="S162" s="1" t="s">
        <v>48</v>
      </c>
      <c r="T162" s="1" t="s">
        <v>48</v>
      </c>
      <c r="U162" s="1" t="s">
        <v>48</v>
      </c>
      <c r="V162" s="1">
        <v>29</v>
      </c>
      <c r="W162" s="1" t="s">
        <v>4502</v>
      </c>
      <c r="X162" s="1" t="s">
        <v>592</v>
      </c>
      <c r="Y162" s="1" t="s">
        <v>4503</v>
      </c>
      <c r="Z162" s="1" t="s">
        <v>48</v>
      </c>
      <c r="AA162" s="1" t="s">
        <v>48</v>
      </c>
    </row>
    <row r="163" spans="1:27" s="1" customFormat="1" ht="18.5" x14ac:dyDescent="0.45">
      <c r="A163" s="1" t="s">
        <v>4541</v>
      </c>
      <c r="B163" s="1" t="s">
        <v>4542</v>
      </c>
      <c r="C163" s="1" t="s">
        <v>820</v>
      </c>
      <c r="D163" s="1" t="s">
        <v>53</v>
      </c>
      <c r="E163" s="2">
        <v>2023</v>
      </c>
      <c r="F163" s="1" t="s">
        <v>4543</v>
      </c>
      <c r="G163" s="1" t="s">
        <v>3615</v>
      </c>
      <c r="H163" s="1" t="s">
        <v>4544</v>
      </c>
      <c r="I163" s="1">
        <v>66</v>
      </c>
      <c r="J163" s="1">
        <v>3</v>
      </c>
      <c r="K163" s="1">
        <v>2</v>
      </c>
      <c r="L163" s="1">
        <v>27</v>
      </c>
      <c r="M163" s="1" t="s">
        <v>421</v>
      </c>
      <c r="N163" s="1" t="s">
        <v>422</v>
      </c>
      <c r="O163" s="1" t="s">
        <v>423</v>
      </c>
      <c r="P163" s="1" t="s">
        <v>48</v>
      </c>
      <c r="Q163" s="1" t="s">
        <v>822</v>
      </c>
      <c r="R163" s="1">
        <v>14</v>
      </c>
      <c r="S163" s="1" t="s">
        <v>48</v>
      </c>
      <c r="T163" s="1" t="s">
        <v>4546</v>
      </c>
      <c r="U163" s="1" t="str">
        <f>HYPERLINK("http://dx.doi.org/10.3389/fmicb.2023.1158411","http://dx.doi.org/10.3389/fmicb.2023.1158411")</f>
        <v>http://dx.doi.org/10.3389/fmicb.2023.1158411</v>
      </c>
      <c r="V163" s="1">
        <v>14</v>
      </c>
      <c r="W163" s="1" t="s">
        <v>824</v>
      </c>
      <c r="X163" s="1" t="s">
        <v>67</v>
      </c>
      <c r="Y163" s="1" t="s">
        <v>824</v>
      </c>
      <c r="Z163" s="1">
        <v>37125168</v>
      </c>
      <c r="AA163" s="1" t="s">
        <v>4547</v>
      </c>
    </row>
    <row r="164" spans="1:27" s="1" customFormat="1" ht="18.5" x14ac:dyDescent="0.45">
      <c r="A164" s="1" t="s">
        <v>377</v>
      </c>
      <c r="B164" s="1" t="s">
        <v>4548</v>
      </c>
      <c r="C164" s="1" t="s">
        <v>2133</v>
      </c>
      <c r="D164" s="1" t="s">
        <v>53</v>
      </c>
      <c r="E164" s="2">
        <v>2023</v>
      </c>
      <c r="F164" s="1" t="s">
        <v>4549</v>
      </c>
      <c r="G164" s="1" t="s">
        <v>4142</v>
      </c>
      <c r="H164" s="1" t="s">
        <v>4550</v>
      </c>
      <c r="I164" s="1">
        <v>56</v>
      </c>
      <c r="J164" s="1">
        <v>3</v>
      </c>
      <c r="K164" s="1">
        <v>4</v>
      </c>
      <c r="L164" s="1">
        <v>31</v>
      </c>
      <c r="M164" s="1" t="s">
        <v>252</v>
      </c>
      <c r="N164" s="1" t="s">
        <v>253</v>
      </c>
      <c r="O164" s="1" t="s">
        <v>254</v>
      </c>
      <c r="P164" s="1" t="s">
        <v>2134</v>
      </c>
      <c r="Q164" s="1" t="s">
        <v>2135</v>
      </c>
      <c r="R164" s="1">
        <v>23</v>
      </c>
      <c r="S164" s="1">
        <v>1</v>
      </c>
      <c r="T164" s="1" t="s">
        <v>4551</v>
      </c>
      <c r="U164" s="1" t="str">
        <f>HYPERLINK("http://dx.doi.org/10.1007/s12351-023-00763-z","http://dx.doi.org/10.1007/s12351-023-00763-z")</f>
        <v>http://dx.doi.org/10.1007/s12351-023-00763-z</v>
      </c>
      <c r="V164" s="1">
        <v>55</v>
      </c>
      <c r="W164" s="1" t="s">
        <v>580</v>
      </c>
      <c r="X164" s="1" t="s">
        <v>67</v>
      </c>
      <c r="Y164" s="1" t="s">
        <v>580</v>
      </c>
      <c r="Z164" s="1" t="s">
        <v>48</v>
      </c>
      <c r="AA164" s="1" t="s">
        <v>48</v>
      </c>
    </row>
    <row r="165" spans="1:27" s="1" customFormat="1" ht="18.5" x14ac:dyDescent="0.45">
      <c r="A165" s="1" t="s">
        <v>4592</v>
      </c>
      <c r="B165" s="1" t="s">
        <v>4593</v>
      </c>
      <c r="C165" s="1" t="s">
        <v>3019</v>
      </c>
      <c r="D165" s="1" t="s">
        <v>53</v>
      </c>
      <c r="E165" s="2">
        <v>2023</v>
      </c>
      <c r="F165" s="1" t="s">
        <v>4594</v>
      </c>
      <c r="G165" s="1" t="s">
        <v>58</v>
      </c>
      <c r="H165" s="1" t="s">
        <v>2606</v>
      </c>
      <c r="I165" s="1">
        <v>92</v>
      </c>
      <c r="J165" s="1">
        <v>5</v>
      </c>
      <c r="K165" s="1">
        <v>3</v>
      </c>
      <c r="L165" s="1">
        <v>9</v>
      </c>
      <c r="M165" s="1" t="s">
        <v>3024</v>
      </c>
      <c r="N165" s="1" t="s">
        <v>422</v>
      </c>
      <c r="O165" s="1" t="s">
        <v>3025</v>
      </c>
      <c r="P165" s="1" t="s">
        <v>3026</v>
      </c>
      <c r="Q165" s="1" t="s">
        <v>3027</v>
      </c>
      <c r="R165" s="1">
        <v>444</v>
      </c>
      <c r="S165" s="1" t="s">
        <v>48</v>
      </c>
      <c r="T165" s="1" t="s">
        <v>4595</v>
      </c>
      <c r="U165" s="1" t="str">
        <f>HYPERLINK("http://dx.doi.org/10.1016/j.jphotochem.2023.114996","http://dx.doi.org/10.1016/j.jphotochem.2023.114996")</f>
        <v>http://dx.doi.org/10.1016/j.jphotochem.2023.114996</v>
      </c>
      <c r="V165" s="1">
        <v>10</v>
      </c>
      <c r="W165" s="1" t="s">
        <v>2899</v>
      </c>
      <c r="X165" s="1" t="s">
        <v>67</v>
      </c>
      <c r="Y165" s="1" t="s">
        <v>2293</v>
      </c>
      <c r="Z165" s="1" t="s">
        <v>48</v>
      </c>
      <c r="AA165" s="1" t="s">
        <v>48</v>
      </c>
    </row>
    <row r="166" spans="1:27" s="1" customFormat="1" ht="18.5" x14ac:dyDescent="0.45">
      <c r="A166" s="1" t="s">
        <v>4596</v>
      </c>
      <c r="B166" s="1" t="s">
        <v>4597</v>
      </c>
      <c r="C166" s="1" t="s">
        <v>2575</v>
      </c>
      <c r="D166" s="1" t="s">
        <v>53</v>
      </c>
      <c r="E166" s="2">
        <v>2023</v>
      </c>
      <c r="F166" s="1" t="s">
        <v>4598</v>
      </c>
      <c r="G166" s="1" t="s">
        <v>58</v>
      </c>
      <c r="H166" s="1" t="s">
        <v>4599</v>
      </c>
      <c r="I166" s="1">
        <v>37</v>
      </c>
      <c r="J166" s="1">
        <v>4</v>
      </c>
      <c r="K166" s="1">
        <v>0</v>
      </c>
      <c r="L166" s="1">
        <v>3</v>
      </c>
      <c r="M166" s="1" t="s">
        <v>503</v>
      </c>
      <c r="N166" s="1" t="s">
        <v>542</v>
      </c>
      <c r="O166" s="1" t="s">
        <v>543</v>
      </c>
      <c r="P166" s="1" t="s">
        <v>2581</v>
      </c>
      <c r="Q166" s="1" t="s">
        <v>2582</v>
      </c>
      <c r="R166" s="1">
        <v>82</v>
      </c>
      <c r="S166" s="1">
        <v>28</v>
      </c>
      <c r="T166" s="1" t="s">
        <v>4600</v>
      </c>
      <c r="U166" s="1" t="str">
        <f>HYPERLINK("http://dx.doi.org/10.1007/s11042-023-15360-7","http://dx.doi.org/10.1007/s11042-023-15360-7")</f>
        <v>http://dx.doi.org/10.1007/s11042-023-15360-7</v>
      </c>
      <c r="V166" s="1">
        <v>21</v>
      </c>
      <c r="W166" s="1" t="s">
        <v>2586</v>
      </c>
      <c r="X166" s="1" t="s">
        <v>67</v>
      </c>
      <c r="Y166" s="1" t="s">
        <v>389</v>
      </c>
      <c r="Z166" s="1" t="s">
        <v>48</v>
      </c>
      <c r="AA166" s="1" t="s">
        <v>48</v>
      </c>
    </row>
    <row r="167" spans="1:27" s="1" customFormat="1" ht="18.5" x14ac:dyDescent="0.45">
      <c r="A167" s="1" t="s">
        <v>4601</v>
      </c>
      <c r="B167" s="1" t="s">
        <v>4602</v>
      </c>
      <c r="C167" s="1" t="s">
        <v>800</v>
      </c>
      <c r="D167" s="1" t="s">
        <v>53</v>
      </c>
      <c r="E167" s="2">
        <v>2023</v>
      </c>
      <c r="F167" s="1" t="s">
        <v>4603</v>
      </c>
      <c r="G167" s="1" t="s">
        <v>58</v>
      </c>
      <c r="H167" s="1" t="s">
        <v>4604</v>
      </c>
      <c r="I167" s="1">
        <v>37</v>
      </c>
      <c r="J167" s="1">
        <v>2</v>
      </c>
      <c r="K167" s="1">
        <v>1</v>
      </c>
      <c r="L167" s="1">
        <v>1</v>
      </c>
      <c r="M167" s="1" t="s">
        <v>803</v>
      </c>
      <c r="N167" s="1" t="s">
        <v>239</v>
      </c>
      <c r="O167" s="1" t="s">
        <v>804</v>
      </c>
      <c r="P167" s="1" t="s">
        <v>805</v>
      </c>
      <c r="Q167" s="1" t="s">
        <v>806</v>
      </c>
      <c r="R167" s="1">
        <v>60</v>
      </c>
      <c r="S167" s="1">
        <v>2</v>
      </c>
      <c r="T167" s="1" t="s">
        <v>4605</v>
      </c>
      <c r="U167" s="1" t="str">
        <f>HYPERLINK("http://dx.doi.org/10.1007/s12597-023-00621-8","http://dx.doi.org/10.1007/s12597-023-00621-8")</f>
        <v>http://dx.doi.org/10.1007/s12597-023-00621-8</v>
      </c>
      <c r="V167" s="1">
        <v>45</v>
      </c>
      <c r="W167" s="1" t="s">
        <v>580</v>
      </c>
      <c r="X167" s="1" t="s">
        <v>124</v>
      </c>
      <c r="Y167" s="1" t="s">
        <v>580</v>
      </c>
      <c r="Z167" s="1" t="s">
        <v>48</v>
      </c>
      <c r="AA167" s="1" t="s">
        <v>48</v>
      </c>
    </row>
    <row r="168" spans="1:27" s="1" customFormat="1" ht="18.5" x14ac:dyDescent="0.45">
      <c r="A168" s="1" t="s">
        <v>4606</v>
      </c>
      <c r="B168" s="1" t="s">
        <v>4607</v>
      </c>
      <c r="C168" s="1" t="s">
        <v>4608</v>
      </c>
      <c r="D168" s="1" t="s">
        <v>53</v>
      </c>
      <c r="E168" s="2">
        <v>2023</v>
      </c>
      <c r="F168" s="1" t="s">
        <v>4609</v>
      </c>
      <c r="G168" s="1" t="s">
        <v>58</v>
      </c>
      <c r="H168" s="1" t="s">
        <v>4610</v>
      </c>
      <c r="I168" s="1">
        <v>30</v>
      </c>
      <c r="J168" s="1">
        <v>5</v>
      </c>
      <c r="K168" s="1">
        <v>2</v>
      </c>
      <c r="L168" s="1">
        <v>4</v>
      </c>
      <c r="M168" s="1" t="s">
        <v>503</v>
      </c>
      <c r="N168" s="1" t="s">
        <v>542</v>
      </c>
      <c r="O168" s="1" t="s">
        <v>543</v>
      </c>
      <c r="P168" s="1" t="s">
        <v>4611</v>
      </c>
      <c r="Q168" s="1" t="s">
        <v>4612</v>
      </c>
      <c r="R168" s="1">
        <v>14</v>
      </c>
      <c r="S168" s="1">
        <v>7</v>
      </c>
      <c r="T168" s="1" t="s">
        <v>4613</v>
      </c>
      <c r="U168" s="1" t="str">
        <f>HYPERLINK("http://dx.doi.org/10.1007/s12649-022-01982-9","http://dx.doi.org/10.1007/s12649-022-01982-9")</f>
        <v>http://dx.doi.org/10.1007/s12649-022-01982-9</v>
      </c>
      <c r="V168" s="1">
        <v>16</v>
      </c>
      <c r="W168" s="1" t="s">
        <v>438</v>
      </c>
      <c r="X168" s="1" t="s">
        <v>67</v>
      </c>
      <c r="Y168" s="1" t="s">
        <v>439</v>
      </c>
      <c r="Z168" s="1">
        <v>36540722</v>
      </c>
      <c r="AA168" s="1" t="s">
        <v>1016</v>
      </c>
    </row>
    <row r="169" spans="1:27" s="1" customFormat="1" ht="18.5" x14ac:dyDescent="0.45">
      <c r="A169" s="1" t="s">
        <v>4644</v>
      </c>
      <c r="B169" s="1" t="s">
        <v>4645</v>
      </c>
      <c r="C169" s="1" t="s">
        <v>4646</v>
      </c>
      <c r="D169" s="1" t="s">
        <v>53</v>
      </c>
      <c r="E169" s="2">
        <v>2023</v>
      </c>
      <c r="F169" s="1" t="s">
        <v>4647</v>
      </c>
      <c r="G169" s="1" t="s">
        <v>4648</v>
      </c>
      <c r="H169" s="1" t="s">
        <v>4649</v>
      </c>
      <c r="I169" s="1">
        <v>48</v>
      </c>
      <c r="J169" s="1">
        <v>1</v>
      </c>
      <c r="K169" s="1">
        <v>0</v>
      </c>
      <c r="L169" s="1">
        <v>3</v>
      </c>
      <c r="M169" s="1" t="s">
        <v>2270</v>
      </c>
      <c r="N169" s="1" t="s">
        <v>2271</v>
      </c>
      <c r="O169" s="1" t="s">
        <v>2272</v>
      </c>
      <c r="P169" s="1" t="s">
        <v>4650</v>
      </c>
      <c r="Q169" s="1" t="s">
        <v>48</v>
      </c>
      <c r="R169" s="1">
        <v>10</v>
      </c>
      <c r="S169" s="1">
        <v>4</v>
      </c>
      <c r="T169" s="1" t="s">
        <v>4651</v>
      </c>
      <c r="U169" s="1" t="str">
        <f>HYPERLINK("http://dx.doi.org/10.1007/s40609-023-00299-2","http://dx.doi.org/10.1007/s40609-023-00299-2")</f>
        <v>http://dx.doi.org/10.1007/s40609-023-00299-2</v>
      </c>
      <c r="V169" s="1">
        <v>13</v>
      </c>
      <c r="W169" s="1" t="s">
        <v>1219</v>
      </c>
      <c r="X169" s="1" t="s">
        <v>124</v>
      </c>
      <c r="Y169" s="1" t="s">
        <v>1219</v>
      </c>
      <c r="Z169" s="1" t="s">
        <v>48</v>
      </c>
      <c r="AA169" s="1" t="s">
        <v>48</v>
      </c>
    </row>
    <row r="170" spans="1:27" s="1" customFormat="1" ht="18.5" x14ac:dyDescent="0.45">
      <c r="A170" s="1" t="s">
        <v>4690</v>
      </c>
      <c r="B170" s="1" t="s">
        <v>4691</v>
      </c>
      <c r="C170" s="1" t="s">
        <v>129</v>
      </c>
      <c r="D170" s="1" t="s">
        <v>53</v>
      </c>
      <c r="E170" s="2">
        <v>2023</v>
      </c>
      <c r="F170" s="1" t="s">
        <v>4692</v>
      </c>
      <c r="G170" s="1" t="s">
        <v>4693</v>
      </c>
      <c r="H170" s="1" t="s">
        <v>4694</v>
      </c>
      <c r="I170" s="1">
        <v>30</v>
      </c>
      <c r="J170" s="1">
        <v>0</v>
      </c>
      <c r="K170" s="1">
        <v>1</v>
      </c>
      <c r="L170" s="1">
        <v>3</v>
      </c>
      <c r="M170" s="1" t="s">
        <v>132</v>
      </c>
      <c r="N170" s="1" t="s">
        <v>133</v>
      </c>
      <c r="O170" s="1" t="s">
        <v>838</v>
      </c>
      <c r="P170" s="1" t="s">
        <v>48</v>
      </c>
      <c r="Q170" s="1" t="s">
        <v>135</v>
      </c>
      <c r="R170" s="1">
        <v>11</v>
      </c>
      <c r="S170" s="1">
        <v>19</v>
      </c>
      <c r="T170" s="1" t="s">
        <v>4695</v>
      </c>
      <c r="U170" s="1" t="str">
        <f>HYPERLINK("http://dx.doi.org/10.3390/math11194136","http://dx.doi.org/10.3390/math11194136")</f>
        <v>http://dx.doi.org/10.3390/math11194136</v>
      </c>
      <c r="V170" s="1">
        <v>18</v>
      </c>
      <c r="W170" s="1" t="s">
        <v>137</v>
      </c>
      <c r="X170" s="1" t="s">
        <v>67</v>
      </c>
      <c r="Y170" s="1" t="s">
        <v>137</v>
      </c>
      <c r="Z170" s="1" t="s">
        <v>48</v>
      </c>
      <c r="AA170" s="1" t="s">
        <v>125</v>
      </c>
    </row>
    <row r="171" spans="1:27" s="1" customFormat="1" ht="18.5" x14ac:dyDescent="0.45">
      <c r="A171" s="1" t="s">
        <v>4696</v>
      </c>
      <c r="B171" s="1" t="s">
        <v>4697</v>
      </c>
      <c r="C171" s="1" t="s">
        <v>4698</v>
      </c>
      <c r="D171" s="1" t="s">
        <v>53</v>
      </c>
      <c r="E171" s="2">
        <v>2023</v>
      </c>
      <c r="F171" s="1" t="s">
        <v>4699</v>
      </c>
      <c r="G171" s="1" t="s">
        <v>58</v>
      </c>
      <c r="H171" s="1" t="s">
        <v>4700</v>
      </c>
      <c r="I171" s="1">
        <v>62</v>
      </c>
      <c r="J171" s="1">
        <v>2</v>
      </c>
      <c r="K171" s="1">
        <v>3</v>
      </c>
      <c r="L171" s="1">
        <v>13</v>
      </c>
      <c r="M171" s="1" t="s">
        <v>79</v>
      </c>
      <c r="N171" s="1" t="s">
        <v>80</v>
      </c>
      <c r="O171" s="1" t="s">
        <v>81</v>
      </c>
      <c r="P171" s="1" t="s">
        <v>4701</v>
      </c>
      <c r="Q171" s="1" t="s">
        <v>4702</v>
      </c>
      <c r="R171" s="1">
        <v>1293</v>
      </c>
      <c r="S171" s="1" t="s">
        <v>48</v>
      </c>
      <c r="T171" s="1" t="s">
        <v>4705</v>
      </c>
      <c r="U171" s="1" t="str">
        <f>HYPERLINK("http://dx.doi.org/10.1016/j.molstruc.2023.136210","http://dx.doi.org/10.1016/j.molstruc.2023.136210")</f>
        <v>http://dx.doi.org/10.1016/j.molstruc.2023.136210</v>
      </c>
      <c r="V171" s="1">
        <v>9</v>
      </c>
      <c r="W171" s="1" t="s">
        <v>2899</v>
      </c>
      <c r="X171" s="1" t="s">
        <v>67</v>
      </c>
      <c r="Y171" s="1" t="s">
        <v>2293</v>
      </c>
      <c r="Z171" s="1" t="s">
        <v>48</v>
      </c>
      <c r="AA171" s="1" t="s">
        <v>48</v>
      </c>
    </row>
    <row r="172" spans="1:27" s="1" customFormat="1" ht="18.5" x14ac:dyDescent="0.45">
      <c r="A172" s="1" t="s">
        <v>4706</v>
      </c>
      <c r="B172" s="1" t="s">
        <v>4707</v>
      </c>
      <c r="C172" s="1" t="s">
        <v>4708</v>
      </c>
      <c r="D172" s="1" t="s">
        <v>111</v>
      </c>
      <c r="E172" s="2">
        <v>2023</v>
      </c>
      <c r="F172" s="1" t="s">
        <v>4709</v>
      </c>
      <c r="G172" s="1" t="s">
        <v>4710</v>
      </c>
      <c r="H172" s="1" t="s">
        <v>4711</v>
      </c>
      <c r="I172" s="1">
        <v>107</v>
      </c>
      <c r="J172" s="1">
        <v>3</v>
      </c>
      <c r="K172" s="1">
        <v>5</v>
      </c>
      <c r="L172" s="1">
        <v>10</v>
      </c>
      <c r="M172" s="1" t="s">
        <v>605</v>
      </c>
      <c r="N172" s="1" t="s">
        <v>239</v>
      </c>
      <c r="O172" s="1" t="s">
        <v>606</v>
      </c>
      <c r="P172" s="1" t="s">
        <v>4712</v>
      </c>
      <c r="Q172" s="1" t="s">
        <v>4713</v>
      </c>
      <c r="R172" s="1" t="s">
        <v>48</v>
      </c>
      <c r="S172" s="1" t="s">
        <v>48</v>
      </c>
      <c r="T172" s="1" t="s">
        <v>4716</v>
      </c>
      <c r="U172" s="1" t="str">
        <f>HYPERLINK("http://dx.doi.org/10.1177/23197145231168726","http://dx.doi.org/10.1177/23197145231168726")</f>
        <v>http://dx.doi.org/10.1177/23197145231168726</v>
      </c>
      <c r="V172" s="1">
        <v>15</v>
      </c>
      <c r="W172" s="1" t="s">
        <v>1228</v>
      </c>
      <c r="X172" s="1" t="s">
        <v>124</v>
      </c>
      <c r="Y172" s="1" t="s">
        <v>510</v>
      </c>
      <c r="Z172" s="1" t="s">
        <v>48</v>
      </c>
      <c r="AA172" s="1" t="s">
        <v>48</v>
      </c>
    </row>
    <row r="173" spans="1:27" s="1" customFormat="1" ht="18.5" x14ac:dyDescent="0.45">
      <c r="A173" s="1" t="s">
        <v>4717</v>
      </c>
      <c r="B173" s="1" t="s">
        <v>4718</v>
      </c>
      <c r="C173" s="1" t="s">
        <v>4719</v>
      </c>
      <c r="D173" s="1" t="s">
        <v>53</v>
      </c>
      <c r="E173" s="2">
        <v>2023</v>
      </c>
      <c r="F173" s="1" t="s">
        <v>4720</v>
      </c>
      <c r="G173" s="1" t="s">
        <v>4721</v>
      </c>
      <c r="H173" s="1" t="s">
        <v>4722</v>
      </c>
      <c r="I173" s="1">
        <v>44</v>
      </c>
      <c r="J173" s="1">
        <v>5</v>
      </c>
      <c r="K173" s="1">
        <v>1</v>
      </c>
      <c r="L173" s="1">
        <v>9</v>
      </c>
      <c r="M173" s="1" t="s">
        <v>79</v>
      </c>
      <c r="N173" s="1" t="s">
        <v>80</v>
      </c>
      <c r="O173" s="1" t="s">
        <v>81</v>
      </c>
      <c r="P173" s="1" t="s">
        <v>4723</v>
      </c>
      <c r="Q173" s="1" t="s">
        <v>4724</v>
      </c>
      <c r="R173" s="1">
        <v>876</v>
      </c>
      <c r="S173" s="1" t="s">
        <v>48</v>
      </c>
      <c r="T173" s="1" t="s">
        <v>4727</v>
      </c>
      <c r="U173" s="1" t="str">
        <f>HYPERLINK("http://dx.doi.org/10.1016/j.scitotenv.2023.162805","http://dx.doi.org/10.1016/j.scitotenv.2023.162805")</f>
        <v>http://dx.doi.org/10.1016/j.scitotenv.2023.162805</v>
      </c>
      <c r="V173" s="1">
        <v>8</v>
      </c>
      <c r="W173" s="1" t="s">
        <v>438</v>
      </c>
      <c r="X173" s="1" t="s">
        <v>67</v>
      </c>
      <c r="Y173" s="1" t="s">
        <v>439</v>
      </c>
      <c r="Z173" s="1">
        <v>36907412</v>
      </c>
      <c r="AA173" s="1" t="s">
        <v>48</v>
      </c>
    </row>
    <row r="174" spans="1:27" s="1" customFormat="1" ht="18.5" x14ac:dyDescent="0.45">
      <c r="A174" s="1" t="s">
        <v>4794</v>
      </c>
      <c r="B174" s="1" t="s">
        <v>4795</v>
      </c>
      <c r="C174" s="1" t="s">
        <v>4796</v>
      </c>
      <c r="D174" s="1" t="s">
        <v>53</v>
      </c>
      <c r="E174" s="2">
        <v>2023</v>
      </c>
      <c r="F174" s="1" t="s">
        <v>4797</v>
      </c>
      <c r="G174" s="1" t="s">
        <v>4778</v>
      </c>
      <c r="H174" s="1" t="s">
        <v>4798</v>
      </c>
      <c r="I174" s="1">
        <v>20</v>
      </c>
      <c r="J174" s="1">
        <v>0</v>
      </c>
      <c r="K174" s="1">
        <v>6</v>
      </c>
      <c r="L174" s="1">
        <v>12</v>
      </c>
      <c r="M174" s="1" t="s">
        <v>145</v>
      </c>
      <c r="N174" s="1" t="s">
        <v>146</v>
      </c>
      <c r="O174" s="1" t="s">
        <v>147</v>
      </c>
      <c r="P174" s="1" t="s">
        <v>4799</v>
      </c>
      <c r="Q174" s="1" t="s">
        <v>4800</v>
      </c>
      <c r="R174" s="1">
        <v>42</v>
      </c>
      <c r="S174" s="1">
        <v>6</v>
      </c>
      <c r="T174" s="1" t="s">
        <v>4801</v>
      </c>
      <c r="U174" s="1" t="str">
        <f>HYPERLINK("http://dx.doi.org/10.1080/01616846.2022.2143159","http://dx.doi.org/10.1080/01616846.2022.2143159")</f>
        <v>http://dx.doi.org/10.1080/01616846.2022.2143159</v>
      </c>
      <c r="V174" s="1">
        <v>13</v>
      </c>
      <c r="W174" s="1" t="s">
        <v>1158</v>
      </c>
      <c r="X174" s="1" t="s">
        <v>124</v>
      </c>
      <c r="Y174" s="1" t="s">
        <v>1158</v>
      </c>
      <c r="Z174" s="1" t="s">
        <v>48</v>
      </c>
      <c r="AA174" s="1" t="s">
        <v>48</v>
      </c>
    </row>
    <row r="175" spans="1:27" s="1" customFormat="1" ht="18.5" x14ac:dyDescent="0.45">
      <c r="A175" s="1" t="s">
        <v>4810</v>
      </c>
      <c r="B175" s="1" t="s">
        <v>4811</v>
      </c>
      <c r="C175" s="1" t="s">
        <v>4812</v>
      </c>
      <c r="D175" s="1" t="s">
        <v>53</v>
      </c>
      <c r="E175" s="2">
        <v>2023</v>
      </c>
      <c r="F175" s="1" t="s">
        <v>4813</v>
      </c>
      <c r="G175" s="1" t="s">
        <v>4814</v>
      </c>
      <c r="H175" s="1" t="s">
        <v>4815</v>
      </c>
      <c r="I175" s="1">
        <v>21</v>
      </c>
      <c r="J175" s="1">
        <v>0</v>
      </c>
      <c r="K175" s="1">
        <v>0</v>
      </c>
      <c r="L175" s="1">
        <v>3</v>
      </c>
      <c r="M175" s="1" t="s">
        <v>132</v>
      </c>
      <c r="N175" s="1" t="s">
        <v>133</v>
      </c>
      <c r="O175" s="1" t="s">
        <v>134</v>
      </c>
      <c r="P175" s="1" t="s">
        <v>48</v>
      </c>
      <c r="Q175" s="1" t="s">
        <v>4816</v>
      </c>
      <c r="R175" s="1">
        <v>15</v>
      </c>
      <c r="S175" s="1">
        <v>7</v>
      </c>
      <c r="T175" s="1" t="s">
        <v>4817</v>
      </c>
      <c r="U175" s="1" t="str">
        <f>HYPERLINK("http://dx.doi.org/10.3390/sym15071387","http://dx.doi.org/10.3390/sym15071387")</f>
        <v>http://dx.doi.org/10.3390/sym15071387</v>
      </c>
      <c r="V175" s="1">
        <v>16</v>
      </c>
      <c r="W175" s="1" t="s">
        <v>335</v>
      </c>
      <c r="X175" s="1" t="s">
        <v>67</v>
      </c>
      <c r="Y175" s="1" t="s">
        <v>336</v>
      </c>
      <c r="Z175" s="1" t="s">
        <v>48</v>
      </c>
      <c r="AA175" s="1" t="s">
        <v>125</v>
      </c>
    </row>
    <row r="176" spans="1:27" s="1" customFormat="1" ht="18.5" x14ac:dyDescent="0.45">
      <c r="A176" s="1" t="s">
        <v>4833</v>
      </c>
      <c r="B176" s="1" t="s">
        <v>4834</v>
      </c>
      <c r="C176" s="1" t="s">
        <v>4835</v>
      </c>
      <c r="D176" s="1" t="s">
        <v>53</v>
      </c>
      <c r="E176" s="2">
        <v>2023</v>
      </c>
      <c r="F176" s="1" t="s">
        <v>4836</v>
      </c>
      <c r="G176" s="1" t="s">
        <v>3475</v>
      </c>
      <c r="H176" s="1" t="s">
        <v>4837</v>
      </c>
      <c r="I176" s="1">
        <v>57</v>
      </c>
      <c r="J176" s="1">
        <v>10</v>
      </c>
      <c r="K176" s="1">
        <v>1</v>
      </c>
      <c r="L176" s="1">
        <v>10</v>
      </c>
      <c r="M176" s="1" t="s">
        <v>3024</v>
      </c>
      <c r="N176" s="1" t="s">
        <v>422</v>
      </c>
      <c r="O176" s="1" t="s">
        <v>3025</v>
      </c>
      <c r="P176" s="1" t="s">
        <v>4838</v>
      </c>
      <c r="Q176" s="1" t="s">
        <v>4839</v>
      </c>
      <c r="R176" s="1">
        <v>969</v>
      </c>
      <c r="S176" s="1" t="s">
        <v>48</v>
      </c>
      <c r="T176" s="1" t="s">
        <v>4842</v>
      </c>
      <c r="U176" s="1" t="str">
        <f>HYPERLINK("http://dx.doi.org/10.1016/j.jallcom.2023.172356","http://dx.doi.org/10.1016/j.jallcom.2023.172356")</f>
        <v>http://dx.doi.org/10.1016/j.jallcom.2023.172356</v>
      </c>
      <c r="V176" s="1">
        <v>11</v>
      </c>
      <c r="W176" s="1" t="s">
        <v>4843</v>
      </c>
      <c r="X176" s="1" t="s">
        <v>67</v>
      </c>
      <c r="Y176" s="1" t="s">
        <v>4844</v>
      </c>
      <c r="Z176" s="1" t="s">
        <v>48</v>
      </c>
      <c r="AA176" s="1" t="s">
        <v>48</v>
      </c>
    </row>
    <row r="177" spans="1:27" s="1" customFormat="1" ht="18.5" x14ac:dyDescent="0.45">
      <c r="A177" s="1" t="s">
        <v>4858</v>
      </c>
      <c r="B177" s="1" t="s">
        <v>4859</v>
      </c>
      <c r="C177" s="1" t="s">
        <v>4860</v>
      </c>
      <c r="D177" s="1" t="s">
        <v>53</v>
      </c>
      <c r="E177" s="2">
        <v>2023</v>
      </c>
      <c r="F177" s="1" t="s">
        <v>4861</v>
      </c>
      <c r="G177" s="1" t="s">
        <v>4402</v>
      </c>
      <c r="H177" s="1" t="s">
        <v>4862</v>
      </c>
      <c r="I177" s="1">
        <v>38</v>
      </c>
      <c r="J177" s="1">
        <v>7</v>
      </c>
      <c r="K177" s="1">
        <v>1</v>
      </c>
      <c r="L177" s="1">
        <v>7</v>
      </c>
      <c r="M177" s="1" t="s">
        <v>1523</v>
      </c>
      <c r="N177" s="1" t="s">
        <v>632</v>
      </c>
      <c r="O177" s="1" t="s">
        <v>1524</v>
      </c>
      <c r="P177" s="1" t="s">
        <v>4863</v>
      </c>
      <c r="Q177" s="1" t="s">
        <v>48</v>
      </c>
      <c r="R177" s="1">
        <v>21</v>
      </c>
      <c r="S177" s="1">
        <v>1</v>
      </c>
      <c r="T177" s="1" t="s">
        <v>4864</v>
      </c>
      <c r="U177" s="1" t="str">
        <f>HYPERLINK("http://dx.doi.org/10.1186/s43141-023-00522-9","http://dx.doi.org/10.1186/s43141-023-00522-9")</f>
        <v>http://dx.doi.org/10.1186/s43141-023-00522-9</v>
      </c>
      <c r="V177" s="1">
        <v>11</v>
      </c>
      <c r="W177" s="1" t="s">
        <v>4865</v>
      </c>
      <c r="X177" s="1" t="s">
        <v>124</v>
      </c>
      <c r="Y177" s="1" t="s">
        <v>4866</v>
      </c>
      <c r="Z177" s="1">
        <v>37204693</v>
      </c>
      <c r="AA177" s="1" t="s">
        <v>337</v>
      </c>
    </row>
    <row r="178" spans="1:27" s="1" customFormat="1" ht="18.5" x14ac:dyDescent="0.45">
      <c r="A178" s="1" t="s">
        <v>4891</v>
      </c>
      <c r="B178" s="1" t="s">
        <v>4892</v>
      </c>
      <c r="C178" s="1" t="s">
        <v>4893</v>
      </c>
      <c r="D178" s="1" t="s">
        <v>53</v>
      </c>
      <c r="E178" s="2">
        <v>2023</v>
      </c>
      <c r="F178" s="1" t="s">
        <v>4894</v>
      </c>
      <c r="G178" s="1" t="s">
        <v>4821</v>
      </c>
      <c r="H178" s="1" t="s">
        <v>4822</v>
      </c>
      <c r="I178" s="1">
        <v>44</v>
      </c>
      <c r="J178" s="1">
        <v>5</v>
      </c>
      <c r="K178" s="1">
        <v>2</v>
      </c>
      <c r="L178" s="1">
        <v>5</v>
      </c>
      <c r="M178" s="1" t="s">
        <v>60</v>
      </c>
      <c r="N178" s="1" t="s">
        <v>61</v>
      </c>
      <c r="O178" s="1" t="s">
        <v>62</v>
      </c>
      <c r="P178" s="1" t="s">
        <v>4895</v>
      </c>
      <c r="Q178" s="1" t="s">
        <v>4896</v>
      </c>
      <c r="R178" s="1">
        <v>58</v>
      </c>
      <c r="S178" s="1" t="s">
        <v>48</v>
      </c>
      <c r="T178" s="1" t="s">
        <v>4897</v>
      </c>
      <c r="U178" s="1" t="str">
        <f>HYPERLINK("http://dx.doi.org/10.1016/j.aei.2023.102222","http://dx.doi.org/10.1016/j.aei.2023.102222")</f>
        <v>http://dx.doi.org/10.1016/j.aei.2023.102222</v>
      </c>
      <c r="V178" s="1">
        <v>24</v>
      </c>
      <c r="W178" s="1" t="s">
        <v>4898</v>
      </c>
      <c r="X178" s="1" t="s">
        <v>67</v>
      </c>
      <c r="Y178" s="1" t="s">
        <v>389</v>
      </c>
      <c r="Z178" s="1" t="s">
        <v>48</v>
      </c>
      <c r="AA178" s="1" t="s">
        <v>48</v>
      </c>
    </row>
    <row r="179" spans="1:27" s="1" customFormat="1" ht="18.5" x14ac:dyDescent="0.45">
      <c r="A179" s="1" t="s">
        <v>4944</v>
      </c>
      <c r="B179" s="1" t="s">
        <v>4945</v>
      </c>
      <c r="C179" s="1" t="s">
        <v>811</v>
      </c>
      <c r="D179" s="1" t="s">
        <v>53</v>
      </c>
      <c r="E179" s="2">
        <v>2023</v>
      </c>
      <c r="F179" s="1" t="s">
        <v>4946</v>
      </c>
      <c r="G179" s="1" t="s">
        <v>4947</v>
      </c>
      <c r="H179" s="1" t="s">
        <v>4948</v>
      </c>
      <c r="I179" s="1">
        <v>46</v>
      </c>
      <c r="J179" s="1">
        <v>4</v>
      </c>
      <c r="K179" s="1">
        <v>0</v>
      </c>
      <c r="L179" s="1">
        <v>1</v>
      </c>
      <c r="M179" s="1" t="s">
        <v>252</v>
      </c>
      <c r="N179" s="1" t="s">
        <v>253</v>
      </c>
      <c r="O179" s="1" t="s">
        <v>254</v>
      </c>
      <c r="P179" s="1" t="s">
        <v>814</v>
      </c>
      <c r="Q179" s="1" t="s">
        <v>815</v>
      </c>
      <c r="R179" s="1">
        <v>30</v>
      </c>
      <c r="S179" s="1">
        <v>12</v>
      </c>
      <c r="T179" s="1" t="s">
        <v>4949</v>
      </c>
      <c r="U179" s="1" t="str">
        <f>HYPERLINK("http://dx.doi.org/10.1007/s43032-023-01327-4","http://dx.doi.org/10.1007/s43032-023-01327-4")</f>
        <v>http://dx.doi.org/10.1007/s43032-023-01327-4</v>
      </c>
      <c r="V179" s="1">
        <v>15</v>
      </c>
      <c r="W179" s="1" t="s">
        <v>817</v>
      </c>
      <c r="X179" s="1" t="s">
        <v>67</v>
      </c>
      <c r="Y179" s="1" t="s">
        <v>817</v>
      </c>
      <c r="Z179" s="1">
        <v>37640890</v>
      </c>
      <c r="AA179" s="1" t="s">
        <v>48</v>
      </c>
    </row>
    <row r="180" spans="1:27" s="1" customFormat="1" ht="18.5" x14ac:dyDescent="0.45">
      <c r="A180" s="1" t="s">
        <v>4950</v>
      </c>
      <c r="B180" s="1" t="s">
        <v>4951</v>
      </c>
      <c r="C180" s="1" t="s">
        <v>404</v>
      </c>
      <c r="D180" s="1" t="s">
        <v>53</v>
      </c>
      <c r="E180" s="2">
        <v>2023</v>
      </c>
      <c r="F180" s="1" t="s">
        <v>4952</v>
      </c>
      <c r="G180" s="1" t="s">
        <v>4953</v>
      </c>
      <c r="H180" s="1" t="s">
        <v>4954</v>
      </c>
      <c r="I180" s="1">
        <v>33</v>
      </c>
      <c r="J180" s="1">
        <v>10</v>
      </c>
      <c r="K180" s="1">
        <v>2</v>
      </c>
      <c r="L180" s="1">
        <v>5</v>
      </c>
      <c r="M180" s="1" t="s">
        <v>410</v>
      </c>
      <c r="N180" s="1" t="s">
        <v>411</v>
      </c>
      <c r="O180" s="1" t="s">
        <v>412</v>
      </c>
      <c r="P180" s="1" t="s">
        <v>413</v>
      </c>
      <c r="Q180" s="1" t="s">
        <v>48</v>
      </c>
      <c r="R180" s="1">
        <v>13</v>
      </c>
      <c r="S180" s="1">
        <v>1</v>
      </c>
      <c r="T180" s="1" t="s">
        <v>4955</v>
      </c>
      <c r="U180" s="1" t="str">
        <f>HYPERLINK("http://dx.doi.org/10.1038/s41598-023-35858-2","http://dx.doi.org/10.1038/s41598-023-35858-2")</f>
        <v>http://dx.doi.org/10.1038/s41598-023-35858-2</v>
      </c>
      <c r="V180" s="1">
        <v>11</v>
      </c>
      <c r="W180" s="1" t="s">
        <v>335</v>
      </c>
      <c r="X180" s="1" t="s">
        <v>67</v>
      </c>
      <c r="Y180" s="1" t="s">
        <v>336</v>
      </c>
      <c r="Z180" s="1">
        <v>37528155</v>
      </c>
      <c r="AA180" s="1" t="s">
        <v>337</v>
      </c>
    </row>
    <row r="181" spans="1:27" s="1" customFormat="1" ht="18.5" x14ac:dyDescent="0.45">
      <c r="A181" s="1" t="s">
        <v>4956</v>
      </c>
      <c r="B181" s="1" t="s">
        <v>4957</v>
      </c>
      <c r="C181" s="1" t="s">
        <v>1812</v>
      </c>
      <c r="D181" s="1" t="s">
        <v>53</v>
      </c>
      <c r="E181" s="2">
        <v>2023</v>
      </c>
      <c r="F181" s="1" t="s">
        <v>4958</v>
      </c>
      <c r="G181" s="1" t="s">
        <v>58</v>
      </c>
      <c r="H181" s="1" t="s">
        <v>4959</v>
      </c>
      <c r="I181" s="1">
        <v>54</v>
      </c>
      <c r="J181" s="1">
        <v>3</v>
      </c>
      <c r="K181" s="1">
        <v>2</v>
      </c>
      <c r="L181" s="1">
        <v>5</v>
      </c>
      <c r="M181" s="1" t="s">
        <v>503</v>
      </c>
      <c r="N181" s="1" t="s">
        <v>504</v>
      </c>
      <c r="O181" s="1" t="s">
        <v>505</v>
      </c>
      <c r="P181" s="1" t="s">
        <v>1814</v>
      </c>
      <c r="Q181" s="1" t="s">
        <v>1815</v>
      </c>
      <c r="R181" s="1">
        <v>27</v>
      </c>
      <c r="S181" s="1">
        <v>16</v>
      </c>
      <c r="T181" s="1" t="s">
        <v>4960</v>
      </c>
      <c r="U181" s="1" t="str">
        <f>HYPERLINK("http://dx.doi.org/10.1007/s00500-023-08204-x","http://dx.doi.org/10.1007/s00500-023-08204-x")</f>
        <v>http://dx.doi.org/10.1007/s00500-023-08204-x</v>
      </c>
      <c r="V181" s="1">
        <v>26</v>
      </c>
      <c r="W181" s="1" t="s">
        <v>1746</v>
      </c>
      <c r="X181" s="1" t="s">
        <v>67</v>
      </c>
      <c r="Y181" s="1" t="s">
        <v>292</v>
      </c>
      <c r="Z181" s="1" t="s">
        <v>48</v>
      </c>
      <c r="AA181" s="1" t="s">
        <v>48</v>
      </c>
    </row>
    <row r="182" spans="1:27" s="1" customFormat="1" ht="18.5" x14ac:dyDescent="0.45">
      <c r="A182" s="1" t="s">
        <v>4961</v>
      </c>
      <c r="B182" s="1" t="s">
        <v>4962</v>
      </c>
      <c r="C182" s="1" t="s">
        <v>2575</v>
      </c>
      <c r="D182" s="1" t="s">
        <v>53</v>
      </c>
      <c r="E182" s="2">
        <v>2023</v>
      </c>
      <c r="F182" s="1" t="s">
        <v>4963</v>
      </c>
      <c r="G182" s="1" t="s">
        <v>4964</v>
      </c>
      <c r="H182" s="1" t="s">
        <v>4965</v>
      </c>
      <c r="I182" s="1">
        <v>38</v>
      </c>
      <c r="J182" s="1">
        <v>1</v>
      </c>
      <c r="K182" s="1">
        <v>2</v>
      </c>
      <c r="L182" s="1">
        <v>6</v>
      </c>
      <c r="M182" s="1" t="s">
        <v>503</v>
      </c>
      <c r="N182" s="1" t="s">
        <v>542</v>
      </c>
      <c r="O182" s="1" t="s">
        <v>543</v>
      </c>
      <c r="P182" s="1" t="s">
        <v>2581</v>
      </c>
      <c r="Q182" s="1" t="s">
        <v>2582</v>
      </c>
      <c r="R182" s="1">
        <v>82</v>
      </c>
      <c r="S182" s="1">
        <v>26</v>
      </c>
      <c r="T182" s="1" t="s">
        <v>4966</v>
      </c>
      <c r="U182" s="1" t="str">
        <f>HYPERLINK("http://dx.doi.org/10.1007/s11042-023-15144-z","http://dx.doi.org/10.1007/s11042-023-15144-z")</f>
        <v>http://dx.doi.org/10.1007/s11042-023-15144-z</v>
      </c>
      <c r="V182" s="1">
        <v>20</v>
      </c>
      <c r="W182" s="1" t="s">
        <v>2586</v>
      </c>
      <c r="X182" s="1" t="s">
        <v>67</v>
      </c>
      <c r="Y182" s="1" t="s">
        <v>389</v>
      </c>
      <c r="Z182" s="1">
        <v>37362650</v>
      </c>
      <c r="AA182" s="1" t="s">
        <v>1016</v>
      </c>
    </row>
    <row r="183" spans="1:27" s="1" customFormat="1" ht="18.5" x14ac:dyDescent="0.45">
      <c r="A183" s="1" t="s">
        <v>4967</v>
      </c>
      <c r="B183" s="1" t="s">
        <v>4968</v>
      </c>
      <c r="C183" s="1" t="s">
        <v>2575</v>
      </c>
      <c r="D183" s="1" t="s">
        <v>53</v>
      </c>
      <c r="E183" s="2">
        <v>2023</v>
      </c>
      <c r="F183" s="1" t="s">
        <v>4969</v>
      </c>
      <c r="G183" s="1" t="s">
        <v>3520</v>
      </c>
      <c r="H183" s="1" t="s">
        <v>4970</v>
      </c>
      <c r="I183" s="1">
        <v>27</v>
      </c>
      <c r="J183" s="1">
        <v>8</v>
      </c>
      <c r="K183" s="1">
        <v>0</v>
      </c>
      <c r="L183" s="1">
        <v>10</v>
      </c>
      <c r="M183" s="1" t="s">
        <v>503</v>
      </c>
      <c r="N183" s="1" t="s">
        <v>542</v>
      </c>
      <c r="O183" s="1" t="s">
        <v>543</v>
      </c>
      <c r="P183" s="1" t="s">
        <v>2581</v>
      </c>
      <c r="Q183" s="1" t="s">
        <v>2582</v>
      </c>
      <c r="R183" s="1">
        <v>82</v>
      </c>
      <c r="S183" s="1">
        <v>13</v>
      </c>
      <c r="T183" s="1" t="s">
        <v>4971</v>
      </c>
      <c r="U183" s="1" t="str">
        <f>HYPERLINK("http://dx.doi.org/10.1007/s11042-022-14301-0","http://dx.doi.org/10.1007/s11042-022-14301-0")</f>
        <v>http://dx.doi.org/10.1007/s11042-022-14301-0</v>
      </c>
      <c r="V183" s="1">
        <v>20</v>
      </c>
      <c r="W183" s="1" t="s">
        <v>2586</v>
      </c>
      <c r="X183" s="1" t="s">
        <v>67</v>
      </c>
      <c r="Y183" s="1" t="s">
        <v>389</v>
      </c>
      <c r="Z183" s="1">
        <v>36628353</v>
      </c>
      <c r="AA183" s="1" t="s">
        <v>1003</v>
      </c>
    </row>
    <row r="184" spans="1:27" s="1" customFormat="1" ht="18.5" x14ac:dyDescent="0.45">
      <c r="A184" s="1" t="s">
        <v>4994</v>
      </c>
      <c r="B184" s="1" t="s">
        <v>4995</v>
      </c>
      <c r="C184" s="1" t="s">
        <v>4996</v>
      </c>
      <c r="D184" s="1" t="s">
        <v>53</v>
      </c>
      <c r="E184" s="2">
        <v>2023</v>
      </c>
      <c r="F184" s="1" t="s">
        <v>4997</v>
      </c>
      <c r="G184" s="1" t="s">
        <v>4998</v>
      </c>
      <c r="H184" s="1" t="s">
        <v>4999</v>
      </c>
      <c r="I184" s="1">
        <v>72</v>
      </c>
      <c r="J184" s="1">
        <v>8</v>
      </c>
      <c r="K184" s="1">
        <v>2</v>
      </c>
      <c r="L184" s="1">
        <v>6</v>
      </c>
      <c r="M184" s="1" t="s">
        <v>79</v>
      </c>
      <c r="N184" s="1" t="s">
        <v>80</v>
      </c>
      <c r="O184" s="1" t="s">
        <v>81</v>
      </c>
      <c r="P184" s="1" t="s">
        <v>5000</v>
      </c>
      <c r="Q184" s="1" t="s">
        <v>5001</v>
      </c>
      <c r="R184" s="1">
        <v>153</v>
      </c>
      <c r="S184" s="1" t="s">
        <v>48</v>
      </c>
      <c r="T184" s="1" t="s">
        <v>5004</v>
      </c>
      <c r="U184" s="1" t="str">
        <f>HYPERLINK("http://dx.doi.org/10.1016/j.ecolind.2023.110381","http://dx.doi.org/10.1016/j.ecolind.2023.110381")</f>
        <v>http://dx.doi.org/10.1016/j.ecolind.2023.110381</v>
      </c>
      <c r="V184" s="1">
        <v>14</v>
      </c>
      <c r="W184" s="1" t="s">
        <v>5005</v>
      </c>
      <c r="X184" s="1" t="s">
        <v>67</v>
      </c>
      <c r="Y184" s="1" t="s">
        <v>5006</v>
      </c>
      <c r="Z184" s="1" t="s">
        <v>48</v>
      </c>
      <c r="AA184" s="1" t="s">
        <v>337</v>
      </c>
    </row>
    <row r="185" spans="1:27" s="1" customFormat="1" ht="18.5" x14ac:dyDescent="0.45">
      <c r="A185" s="1" t="s">
        <v>5007</v>
      </c>
      <c r="B185" s="1" t="s">
        <v>5008</v>
      </c>
      <c r="C185" s="1" t="s">
        <v>4698</v>
      </c>
      <c r="D185" s="1" t="s">
        <v>53</v>
      </c>
      <c r="E185" s="2">
        <v>2023</v>
      </c>
      <c r="F185" s="1" t="s">
        <v>5009</v>
      </c>
      <c r="G185" s="1" t="s">
        <v>4648</v>
      </c>
      <c r="H185" s="1" t="s">
        <v>2330</v>
      </c>
      <c r="I185" s="1">
        <v>62</v>
      </c>
      <c r="J185" s="1">
        <v>12</v>
      </c>
      <c r="K185" s="1">
        <v>5</v>
      </c>
      <c r="L185" s="1">
        <v>15</v>
      </c>
      <c r="M185" s="1" t="s">
        <v>79</v>
      </c>
      <c r="N185" s="1" t="s">
        <v>80</v>
      </c>
      <c r="O185" s="1" t="s">
        <v>81</v>
      </c>
      <c r="P185" s="1" t="s">
        <v>4701</v>
      </c>
      <c r="Q185" s="1" t="s">
        <v>4702</v>
      </c>
      <c r="R185" s="1">
        <v>1278</v>
      </c>
      <c r="S185" s="1" t="s">
        <v>48</v>
      </c>
      <c r="T185" s="1" t="s">
        <v>5010</v>
      </c>
      <c r="U185" s="1" t="str">
        <f>HYPERLINK("http://dx.doi.org/10.1016/j.molstruc.2023.134927","http://dx.doi.org/10.1016/j.molstruc.2023.134927")</f>
        <v>http://dx.doi.org/10.1016/j.molstruc.2023.134927</v>
      </c>
      <c r="V185" s="1">
        <v>14</v>
      </c>
      <c r="W185" s="1" t="s">
        <v>2899</v>
      </c>
      <c r="X185" s="1" t="s">
        <v>67</v>
      </c>
      <c r="Y185" s="1" t="s">
        <v>2293</v>
      </c>
      <c r="Z185" s="1" t="s">
        <v>48</v>
      </c>
      <c r="AA185" s="1" t="s">
        <v>48</v>
      </c>
    </row>
    <row r="186" spans="1:27" s="1" customFormat="1" ht="18.5" x14ac:dyDescent="0.45">
      <c r="A186" s="1" t="s">
        <v>5039</v>
      </c>
      <c r="B186" s="1" t="s">
        <v>5040</v>
      </c>
      <c r="C186" s="1" t="s">
        <v>3508</v>
      </c>
      <c r="D186" s="1" t="s">
        <v>539</v>
      </c>
      <c r="E186" s="2">
        <v>2023</v>
      </c>
      <c r="F186" s="1" t="s">
        <v>5041</v>
      </c>
      <c r="G186" s="1" t="s">
        <v>5042</v>
      </c>
      <c r="H186" s="1" t="s">
        <v>5043</v>
      </c>
      <c r="I186" s="1">
        <v>1</v>
      </c>
      <c r="J186" s="1">
        <v>0</v>
      </c>
      <c r="K186" s="1">
        <v>0</v>
      </c>
      <c r="L186" s="1">
        <v>1</v>
      </c>
      <c r="M186" s="1" t="s">
        <v>1523</v>
      </c>
      <c r="N186" s="1" t="s">
        <v>632</v>
      </c>
      <c r="O186" s="1" t="s">
        <v>1524</v>
      </c>
      <c r="P186" s="1" t="s">
        <v>3510</v>
      </c>
      <c r="Q186" s="1" t="s">
        <v>3511</v>
      </c>
      <c r="R186" s="1">
        <v>22</v>
      </c>
      <c r="S186" s="1">
        <v>7</v>
      </c>
      <c r="T186" s="1" t="s">
        <v>5044</v>
      </c>
      <c r="U186" s="1" t="str">
        <f>HYPERLINK("http://dx.doi.org/10.1007/s43630-023-00445-x","http://dx.doi.org/10.1007/s43630-023-00445-x")</f>
        <v>http://dx.doi.org/10.1007/s43630-023-00445-x</v>
      </c>
      <c r="V186" s="1">
        <v>1</v>
      </c>
      <c r="W186" s="1" t="s">
        <v>3513</v>
      </c>
      <c r="X186" s="1" t="s">
        <v>67</v>
      </c>
      <c r="Y186" s="1" t="s">
        <v>3515</v>
      </c>
      <c r="Z186" s="1">
        <v>37312010</v>
      </c>
      <c r="AA186" s="1" t="s">
        <v>550</v>
      </c>
    </row>
    <row r="187" spans="1:27" s="1" customFormat="1" ht="18.5" x14ac:dyDescent="0.45">
      <c r="A187" s="1" t="s">
        <v>5058</v>
      </c>
      <c r="B187" s="1" t="s">
        <v>5059</v>
      </c>
      <c r="C187" s="1" t="s">
        <v>429</v>
      </c>
      <c r="D187" s="1" t="s">
        <v>53</v>
      </c>
      <c r="E187" s="2">
        <v>2023</v>
      </c>
      <c r="F187" s="1" t="s">
        <v>5060</v>
      </c>
      <c r="G187" s="1" t="s">
        <v>5061</v>
      </c>
      <c r="H187" s="1" t="s">
        <v>2007</v>
      </c>
      <c r="I187" s="1">
        <v>55</v>
      </c>
      <c r="J187" s="1">
        <v>11</v>
      </c>
      <c r="K187" s="1">
        <v>1</v>
      </c>
      <c r="L187" s="1">
        <v>1</v>
      </c>
      <c r="M187" s="1" t="s">
        <v>252</v>
      </c>
      <c r="N187" s="1" t="s">
        <v>253</v>
      </c>
      <c r="O187" s="1" t="s">
        <v>254</v>
      </c>
      <c r="P187" s="1" t="s">
        <v>432</v>
      </c>
      <c r="Q187" s="1" t="s">
        <v>433</v>
      </c>
      <c r="R187" s="1">
        <v>9</v>
      </c>
      <c r="S187" s="1">
        <v>2</v>
      </c>
      <c r="T187" s="1" t="s">
        <v>5062</v>
      </c>
      <c r="U187" s="1" t="str">
        <f>HYPERLINK("http://dx.doi.org/10.1007/s40808-022-01576-3","http://dx.doi.org/10.1007/s40808-022-01576-3")</f>
        <v>http://dx.doi.org/10.1007/s40808-022-01576-3</v>
      </c>
      <c r="V187" s="1">
        <v>16</v>
      </c>
      <c r="W187" s="1" t="s">
        <v>438</v>
      </c>
      <c r="X187" s="1" t="s">
        <v>124</v>
      </c>
      <c r="Y187" s="1" t="s">
        <v>439</v>
      </c>
      <c r="Z187" s="1" t="s">
        <v>48</v>
      </c>
      <c r="AA187" s="1" t="s">
        <v>48</v>
      </c>
    </row>
    <row r="188" spans="1:27" s="1" customFormat="1" ht="18.5" x14ac:dyDescent="0.45">
      <c r="A188" s="1" t="s">
        <v>5064</v>
      </c>
      <c r="B188" s="1" t="s">
        <v>5065</v>
      </c>
      <c r="C188" s="1" t="s">
        <v>2737</v>
      </c>
      <c r="D188" s="1" t="s">
        <v>53</v>
      </c>
      <c r="E188" s="2">
        <v>2023</v>
      </c>
      <c r="F188" s="1" t="s">
        <v>5066</v>
      </c>
      <c r="G188" s="1" t="s">
        <v>5067</v>
      </c>
      <c r="H188" s="1" t="s">
        <v>5068</v>
      </c>
      <c r="I188" s="1">
        <v>26</v>
      </c>
      <c r="J188" s="1">
        <v>4</v>
      </c>
      <c r="K188" s="1">
        <v>0</v>
      </c>
      <c r="L188" s="1">
        <v>7</v>
      </c>
      <c r="M188" s="1" t="s">
        <v>2741</v>
      </c>
      <c r="N188" s="1" t="s">
        <v>80</v>
      </c>
      <c r="O188" s="1" t="s">
        <v>2742</v>
      </c>
      <c r="P188" s="1" t="s">
        <v>2743</v>
      </c>
      <c r="Q188" s="1" t="s">
        <v>2744</v>
      </c>
      <c r="R188" s="1">
        <v>45</v>
      </c>
      <c r="S188" s="1">
        <v>3</v>
      </c>
      <c r="T188" s="1" t="s">
        <v>5069</v>
      </c>
      <c r="U188" s="1" t="str">
        <f>HYPERLINK("http://dx.doi.org/10.3233/JIFS-223234","http://dx.doi.org/10.3233/JIFS-223234")</f>
        <v>http://dx.doi.org/10.3233/JIFS-223234</v>
      </c>
      <c r="V188" s="1">
        <v>14</v>
      </c>
      <c r="W188" s="1" t="s">
        <v>549</v>
      </c>
      <c r="X188" s="1" t="s">
        <v>67</v>
      </c>
      <c r="Y188" s="1" t="s">
        <v>292</v>
      </c>
      <c r="Z188" s="1" t="s">
        <v>48</v>
      </c>
      <c r="AA188" s="1" t="s">
        <v>48</v>
      </c>
    </row>
    <row r="189" spans="1:27" s="1" customFormat="1" ht="18.5" x14ac:dyDescent="0.45">
      <c r="A189" s="1" t="s">
        <v>5097</v>
      </c>
      <c r="B189" s="1" t="s">
        <v>5098</v>
      </c>
      <c r="C189" s="1" t="s">
        <v>3019</v>
      </c>
      <c r="D189" s="1" t="s">
        <v>53</v>
      </c>
      <c r="E189" s="2">
        <v>2023</v>
      </c>
      <c r="F189" s="1" t="s">
        <v>5099</v>
      </c>
      <c r="G189" s="1" t="s">
        <v>5100</v>
      </c>
      <c r="H189" s="1" t="s">
        <v>2525</v>
      </c>
      <c r="I189" s="1">
        <v>56</v>
      </c>
      <c r="J189" s="1">
        <v>13</v>
      </c>
      <c r="K189" s="1">
        <v>6</v>
      </c>
      <c r="L189" s="1">
        <v>12</v>
      </c>
      <c r="M189" s="1" t="s">
        <v>3024</v>
      </c>
      <c r="N189" s="1" t="s">
        <v>422</v>
      </c>
      <c r="O189" s="1" t="s">
        <v>3025</v>
      </c>
      <c r="P189" s="1" t="s">
        <v>3026</v>
      </c>
      <c r="Q189" s="1" t="s">
        <v>3027</v>
      </c>
      <c r="R189" s="1">
        <v>442</v>
      </c>
      <c r="S189" s="1" t="s">
        <v>48</v>
      </c>
      <c r="T189" s="1" t="s">
        <v>5101</v>
      </c>
      <c r="U189" s="1" t="str">
        <f>HYPERLINK("http://dx.doi.org/10.1016/j.jphotochem.2023.114806","http://dx.doi.org/10.1016/j.jphotochem.2023.114806")</f>
        <v>http://dx.doi.org/10.1016/j.jphotochem.2023.114806</v>
      </c>
      <c r="V189" s="1">
        <v>15</v>
      </c>
      <c r="W189" s="1" t="s">
        <v>2899</v>
      </c>
      <c r="X189" s="1" t="s">
        <v>67</v>
      </c>
      <c r="Y189" s="1" t="s">
        <v>2293</v>
      </c>
      <c r="Z189" s="1" t="s">
        <v>48</v>
      </c>
      <c r="AA189" s="1" t="s">
        <v>48</v>
      </c>
    </row>
    <row r="190" spans="1:27" s="1" customFormat="1" ht="18.5" x14ac:dyDescent="0.45">
      <c r="A190" s="1" t="s">
        <v>5102</v>
      </c>
      <c r="B190" s="1" t="s">
        <v>5103</v>
      </c>
      <c r="C190" s="1" t="s">
        <v>5104</v>
      </c>
      <c r="D190" s="1" t="s">
        <v>53</v>
      </c>
      <c r="E190" s="2">
        <v>2023</v>
      </c>
      <c r="F190" s="1" t="s">
        <v>5105</v>
      </c>
      <c r="G190" s="1" t="s">
        <v>5106</v>
      </c>
      <c r="H190" s="1" t="s">
        <v>131</v>
      </c>
      <c r="I190" s="1">
        <v>94</v>
      </c>
      <c r="J190" s="1">
        <v>32</v>
      </c>
      <c r="K190" s="1">
        <v>10</v>
      </c>
      <c r="L190" s="1">
        <v>67</v>
      </c>
      <c r="M190" s="1" t="s">
        <v>215</v>
      </c>
      <c r="N190" s="1" t="s">
        <v>158</v>
      </c>
      <c r="O190" s="1" t="s">
        <v>216</v>
      </c>
      <c r="P190" s="1" t="s">
        <v>5107</v>
      </c>
      <c r="Q190" s="1" t="s">
        <v>5108</v>
      </c>
      <c r="R190" s="1">
        <v>48</v>
      </c>
      <c r="S190" s="1">
        <v>25</v>
      </c>
      <c r="T190" s="1" t="s">
        <v>5109</v>
      </c>
      <c r="U190" s="1" t="str">
        <f>HYPERLINK("http://dx.doi.org/10.1016/j.ijhydene.2022.12.024","http://dx.doi.org/10.1016/j.ijhydene.2022.12.024")</f>
        <v>http://dx.doi.org/10.1016/j.ijhydene.2022.12.024</v>
      </c>
      <c r="V190" s="1">
        <v>24</v>
      </c>
      <c r="W190" s="1" t="s">
        <v>5110</v>
      </c>
      <c r="X190" s="1" t="s">
        <v>67</v>
      </c>
      <c r="Y190" s="1" t="s">
        <v>5111</v>
      </c>
      <c r="Z190" s="1" t="s">
        <v>48</v>
      </c>
      <c r="AA190" s="1" t="s">
        <v>48</v>
      </c>
    </row>
    <row r="191" spans="1:27" s="1" customFormat="1" ht="18.5" x14ac:dyDescent="0.45">
      <c r="A191" s="1" t="s">
        <v>5134</v>
      </c>
      <c r="B191" s="1" t="s">
        <v>5135</v>
      </c>
      <c r="C191" s="1" t="s">
        <v>5136</v>
      </c>
      <c r="D191" s="1" t="s">
        <v>111</v>
      </c>
      <c r="E191" s="2">
        <v>2023</v>
      </c>
      <c r="F191" s="1" t="s">
        <v>5137</v>
      </c>
      <c r="G191" s="1" t="s">
        <v>5138</v>
      </c>
      <c r="H191" s="1" t="s">
        <v>5139</v>
      </c>
      <c r="I191" s="1">
        <v>52</v>
      </c>
      <c r="J191" s="1">
        <v>5</v>
      </c>
      <c r="K191" s="1">
        <v>0</v>
      </c>
      <c r="L191" s="1">
        <v>6</v>
      </c>
      <c r="M191" s="1" t="s">
        <v>503</v>
      </c>
      <c r="N191" s="1" t="s">
        <v>504</v>
      </c>
      <c r="O191" s="1" t="s">
        <v>505</v>
      </c>
      <c r="P191" s="1" t="s">
        <v>5140</v>
      </c>
      <c r="Q191" s="1" t="s">
        <v>5141</v>
      </c>
      <c r="R191" s="1" t="s">
        <v>48</v>
      </c>
      <c r="S191" s="1" t="s">
        <v>48</v>
      </c>
      <c r="T191" s="1" t="s">
        <v>5144</v>
      </c>
      <c r="U191" s="1" t="str">
        <f>HYPERLINK("http://dx.doi.org/10.1007/s00371-023-03050-2","http://dx.doi.org/10.1007/s00371-023-03050-2")</f>
        <v>http://dx.doi.org/10.1007/s00371-023-03050-2</v>
      </c>
      <c r="V191" s="1">
        <v>24</v>
      </c>
      <c r="W191" s="1" t="s">
        <v>5145</v>
      </c>
      <c r="X191" s="1" t="s">
        <v>67</v>
      </c>
      <c r="Y191" s="1" t="s">
        <v>292</v>
      </c>
      <c r="Z191" s="1" t="s">
        <v>48</v>
      </c>
      <c r="AA191" s="1" t="s">
        <v>48</v>
      </c>
    </row>
    <row r="192" spans="1:27" s="1" customFormat="1" ht="18.5" x14ac:dyDescent="0.45">
      <c r="A192" s="1" t="s">
        <v>5184</v>
      </c>
      <c r="B192" s="1" t="s">
        <v>5185</v>
      </c>
      <c r="C192" s="1" t="s">
        <v>209</v>
      </c>
      <c r="D192" s="1" t="s">
        <v>53</v>
      </c>
      <c r="E192" s="2">
        <v>2023</v>
      </c>
      <c r="F192" s="1" t="s">
        <v>5186</v>
      </c>
      <c r="G192" s="1" t="s">
        <v>5106</v>
      </c>
      <c r="H192" s="1" t="s">
        <v>1379</v>
      </c>
      <c r="I192" s="1">
        <v>51</v>
      </c>
      <c r="J192" s="1">
        <v>56</v>
      </c>
      <c r="K192" s="1">
        <v>12</v>
      </c>
      <c r="L192" s="1">
        <v>112</v>
      </c>
      <c r="M192" s="1" t="s">
        <v>215</v>
      </c>
      <c r="N192" s="1" t="s">
        <v>158</v>
      </c>
      <c r="O192" s="1" t="s">
        <v>216</v>
      </c>
      <c r="P192" s="1" t="s">
        <v>217</v>
      </c>
      <c r="Q192" s="1" t="s">
        <v>218</v>
      </c>
      <c r="R192" s="1">
        <v>211</v>
      </c>
      <c r="S192" s="1" t="s">
        <v>48</v>
      </c>
      <c r="T192" s="1" t="s">
        <v>5187</v>
      </c>
      <c r="U192" s="1" t="str">
        <f>HYPERLINK("http://dx.doi.org/10.1016/j.eswa.2022.118688","http://dx.doi.org/10.1016/j.eswa.2022.118688")</f>
        <v>http://dx.doi.org/10.1016/j.eswa.2022.118688</v>
      </c>
      <c r="V192" s="1">
        <v>17</v>
      </c>
      <c r="W192" s="1" t="s">
        <v>221</v>
      </c>
      <c r="X192" s="1" t="s">
        <v>67</v>
      </c>
      <c r="Y192" s="1" t="s">
        <v>222</v>
      </c>
      <c r="Z192" s="1" t="s">
        <v>48</v>
      </c>
      <c r="AA192" s="1" t="s">
        <v>48</v>
      </c>
    </row>
    <row r="193" spans="1:27" s="1" customFormat="1" ht="18.5" x14ac:dyDescent="0.45">
      <c r="A193" s="1" t="s">
        <v>4900</v>
      </c>
      <c r="B193" s="1" t="s">
        <v>5218</v>
      </c>
      <c r="C193" s="1" t="s">
        <v>5219</v>
      </c>
      <c r="D193" s="1" t="s">
        <v>53</v>
      </c>
      <c r="E193" s="2">
        <v>2023</v>
      </c>
      <c r="F193" s="1" t="s">
        <v>5220</v>
      </c>
      <c r="G193" s="1" t="s">
        <v>3900</v>
      </c>
      <c r="H193" s="1" t="s">
        <v>5221</v>
      </c>
      <c r="I193" s="1">
        <v>52</v>
      </c>
      <c r="J193" s="1">
        <v>29</v>
      </c>
      <c r="K193" s="1">
        <v>0</v>
      </c>
      <c r="L193" s="1">
        <v>1</v>
      </c>
      <c r="M193" s="1" t="s">
        <v>79</v>
      </c>
      <c r="N193" s="1" t="s">
        <v>80</v>
      </c>
      <c r="O193" s="1" t="s">
        <v>81</v>
      </c>
      <c r="P193" s="1" t="s">
        <v>5222</v>
      </c>
      <c r="Q193" s="1" t="s">
        <v>48</v>
      </c>
      <c r="R193" s="1">
        <v>100</v>
      </c>
      <c r="S193" s="1">
        <v>4</v>
      </c>
      <c r="T193" s="1" t="s">
        <v>5223</v>
      </c>
      <c r="U193" s="1" t="str">
        <f>HYPERLINK("http://dx.doi.org/10.1016/j.jics.2023.100983","http://dx.doi.org/10.1016/j.jics.2023.100983")</f>
        <v>http://dx.doi.org/10.1016/j.jics.2023.100983</v>
      </c>
      <c r="V193" s="1">
        <v>16</v>
      </c>
      <c r="W193" s="1" t="s">
        <v>2292</v>
      </c>
      <c r="X193" s="1" t="s">
        <v>67</v>
      </c>
      <c r="Y193" s="1" t="s">
        <v>2293</v>
      </c>
      <c r="Z193" s="1" t="s">
        <v>48</v>
      </c>
      <c r="AA193" s="1" t="s">
        <v>48</v>
      </c>
    </row>
    <row r="194" spans="1:27" s="1" customFormat="1" ht="18.5" x14ac:dyDescent="0.45">
      <c r="A194" s="1" t="s">
        <v>5224</v>
      </c>
      <c r="B194" s="1" t="s">
        <v>5225</v>
      </c>
      <c r="C194" s="1" t="s">
        <v>2737</v>
      </c>
      <c r="D194" s="1" t="s">
        <v>53</v>
      </c>
      <c r="E194" s="2">
        <v>2023</v>
      </c>
      <c r="F194" s="1" t="s">
        <v>5226</v>
      </c>
      <c r="G194" s="1" t="s">
        <v>5227</v>
      </c>
      <c r="H194" s="1" t="s">
        <v>131</v>
      </c>
      <c r="I194" s="1">
        <v>30</v>
      </c>
      <c r="J194" s="1">
        <v>3</v>
      </c>
      <c r="K194" s="1">
        <v>2</v>
      </c>
      <c r="L194" s="1">
        <v>33</v>
      </c>
      <c r="M194" s="1" t="s">
        <v>2741</v>
      </c>
      <c r="N194" s="1" t="s">
        <v>80</v>
      </c>
      <c r="O194" s="1" t="s">
        <v>2742</v>
      </c>
      <c r="P194" s="1" t="s">
        <v>2743</v>
      </c>
      <c r="Q194" s="1" t="s">
        <v>2744</v>
      </c>
      <c r="R194" s="1">
        <v>45</v>
      </c>
      <c r="S194" s="1">
        <v>5</v>
      </c>
      <c r="T194" s="1" t="s">
        <v>5228</v>
      </c>
      <c r="U194" s="1" t="str">
        <f>HYPERLINK("http://dx.doi.org/10.3233/JIFS-223054","http://dx.doi.org/10.3233/JIFS-223054")</f>
        <v>http://dx.doi.org/10.3233/JIFS-223054</v>
      </c>
      <c r="V194" s="1">
        <v>14</v>
      </c>
      <c r="W194" s="1" t="s">
        <v>549</v>
      </c>
      <c r="X194" s="1" t="s">
        <v>67</v>
      </c>
      <c r="Y194" s="1" t="s">
        <v>292</v>
      </c>
      <c r="Z194" s="1" t="s">
        <v>48</v>
      </c>
      <c r="AA194" s="1" t="s">
        <v>48</v>
      </c>
    </row>
    <row r="195" spans="1:27" s="1" customFormat="1" ht="18.5" x14ac:dyDescent="0.45">
      <c r="A195" s="1" t="s">
        <v>5247</v>
      </c>
      <c r="B195" s="1" t="s">
        <v>5248</v>
      </c>
      <c r="C195" s="1" t="s">
        <v>209</v>
      </c>
      <c r="D195" s="1" t="s">
        <v>53</v>
      </c>
      <c r="E195" s="2">
        <v>2023</v>
      </c>
      <c r="F195" s="1" t="s">
        <v>5249</v>
      </c>
      <c r="G195" s="1" t="s">
        <v>3763</v>
      </c>
      <c r="H195" s="1" t="s">
        <v>3091</v>
      </c>
      <c r="I195" s="1">
        <v>82</v>
      </c>
      <c r="J195" s="1">
        <v>14</v>
      </c>
      <c r="K195" s="1">
        <v>6</v>
      </c>
      <c r="L195" s="1">
        <v>43</v>
      </c>
      <c r="M195" s="1" t="s">
        <v>215</v>
      </c>
      <c r="N195" s="1" t="s">
        <v>158</v>
      </c>
      <c r="O195" s="1" t="s">
        <v>216</v>
      </c>
      <c r="P195" s="1" t="s">
        <v>217</v>
      </c>
      <c r="Q195" s="1" t="s">
        <v>218</v>
      </c>
      <c r="R195" s="1">
        <v>229</v>
      </c>
      <c r="S195" s="1" t="s">
        <v>48</v>
      </c>
      <c r="T195" s="1" t="s">
        <v>5250</v>
      </c>
      <c r="U195" s="1" t="str">
        <f>HYPERLINK("http://dx.doi.org/10.1016/j.eswa.2023.120407","http://dx.doi.org/10.1016/j.eswa.2023.120407")</f>
        <v>http://dx.doi.org/10.1016/j.eswa.2023.120407</v>
      </c>
      <c r="V195" s="1">
        <v>26</v>
      </c>
      <c r="W195" s="1" t="s">
        <v>221</v>
      </c>
      <c r="X195" s="1" t="s">
        <v>67</v>
      </c>
      <c r="Y195" s="1" t="s">
        <v>222</v>
      </c>
      <c r="Z195" s="1" t="s">
        <v>48</v>
      </c>
      <c r="AA195" s="1" t="s">
        <v>48</v>
      </c>
    </row>
    <row r="196" spans="1:27" s="1" customFormat="1" ht="18.5" x14ac:dyDescent="0.45">
      <c r="A196" s="1" t="s">
        <v>5251</v>
      </c>
      <c r="B196" s="1" t="s">
        <v>5252</v>
      </c>
      <c r="C196" s="1" t="s">
        <v>5253</v>
      </c>
      <c r="D196" s="1" t="s">
        <v>53</v>
      </c>
      <c r="E196" s="2">
        <v>2023</v>
      </c>
      <c r="F196" s="1" t="s">
        <v>5254</v>
      </c>
      <c r="G196" s="1" t="s">
        <v>3900</v>
      </c>
      <c r="H196" s="1" t="s">
        <v>5255</v>
      </c>
      <c r="I196" s="1">
        <v>49</v>
      </c>
      <c r="J196" s="1">
        <v>22</v>
      </c>
      <c r="K196" s="1">
        <v>0</v>
      </c>
      <c r="L196" s="1">
        <v>0</v>
      </c>
      <c r="M196" s="1" t="s">
        <v>2989</v>
      </c>
      <c r="N196" s="1" t="s">
        <v>2990</v>
      </c>
      <c r="O196" s="1" t="s">
        <v>2991</v>
      </c>
      <c r="P196" s="1" t="s">
        <v>5256</v>
      </c>
      <c r="Q196" s="1" t="s">
        <v>5257</v>
      </c>
      <c r="R196" s="1">
        <v>103</v>
      </c>
      <c r="S196" s="1">
        <v>9</v>
      </c>
      <c r="T196" s="1" t="s">
        <v>5258</v>
      </c>
      <c r="U196" s="1" t="str">
        <f>HYPERLINK("http://dx.doi.org/10.1002/zamm.202200080","http://dx.doi.org/10.1002/zamm.202200080")</f>
        <v>http://dx.doi.org/10.1002/zamm.202200080</v>
      </c>
      <c r="V196" s="1">
        <v>22</v>
      </c>
      <c r="W196" s="1" t="s">
        <v>5259</v>
      </c>
      <c r="X196" s="1" t="s">
        <v>67</v>
      </c>
      <c r="Y196" s="1" t="s">
        <v>4361</v>
      </c>
      <c r="Z196" s="1" t="s">
        <v>48</v>
      </c>
      <c r="AA196" s="1" t="s">
        <v>48</v>
      </c>
    </row>
    <row r="197" spans="1:27" s="1" customFormat="1" ht="18.5" x14ac:dyDescent="0.45">
      <c r="A197" s="1" t="s">
        <v>5301</v>
      </c>
      <c r="B197" s="1" t="s">
        <v>5302</v>
      </c>
      <c r="C197" s="1" t="s">
        <v>5303</v>
      </c>
      <c r="D197" s="1" t="s">
        <v>53</v>
      </c>
      <c r="E197" s="2">
        <v>2023</v>
      </c>
      <c r="F197" s="1" t="s">
        <v>5304</v>
      </c>
      <c r="G197" s="1" t="s">
        <v>5295</v>
      </c>
      <c r="H197" s="1" t="s">
        <v>5296</v>
      </c>
      <c r="I197" s="1">
        <v>93</v>
      </c>
      <c r="J197" s="1">
        <v>1</v>
      </c>
      <c r="K197" s="1">
        <v>0</v>
      </c>
      <c r="L197" s="1">
        <v>6</v>
      </c>
      <c r="M197" s="1" t="s">
        <v>2360</v>
      </c>
      <c r="N197" s="1" t="s">
        <v>2361</v>
      </c>
      <c r="O197" s="1" t="s">
        <v>2362</v>
      </c>
      <c r="P197" s="1" t="s">
        <v>5305</v>
      </c>
      <c r="Q197" s="1" t="s">
        <v>5306</v>
      </c>
      <c r="R197" s="1">
        <v>18</v>
      </c>
      <c r="S197" s="1">
        <v>2</v>
      </c>
      <c r="T197" s="1" t="s">
        <v>5307</v>
      </c>
      <c r="U197" s="1" t="str">
        <f>HYPERLINK("http://dx.doi.org/10.2174/1574893618666221019092212","http://dx.doi.org/10.2174/1574893618666221019092212")</f>
        <v>http://dx.doi.org/10.2174/1574893618666221019092212</v>
      </c>
      <c r="V197" s="1">
        <v>11</v>
      </c>
      <c r="W197" s="1" t="s">
        <v>5308</v>
      </c>
      <c r="X197" s="1" t="s">
        <v>67</v>
      </c>
      <c r="Y197" s="1" t="s">
        <v>5309</v>
      </c>
      <c r="Z197" s="1" t="s">
        <v>48</v>
      </c>
      <c r="AA197" s="1" t="s">
        <v>48</v>
      </c>
    </row>
    <row r="198" spans="1:27" s="1" customFormat="1" ht="18.5" x14ac:dyDescent="0.45">
      <c r="A198" s="1" t="s">
        <v>5320</v>
      </c>
      <c r="B198" s="1" t="s">
        <v>5321</v>
      </c>
      <c r="C198" s="1" t="s">
        <v>5322</v>
      </c>
      <c r="D198" s="1" t="s">
        <v>53</v>
      </c>
      <c r="E198" s="2">
        <v>2023</v>
      </c>
      <c r="F198" s="1" t="s">
        <v>5323</v>
      </c>
      <c r="G198" s="1" t="s">
        <v>5324</v>
      </c>
      <c r="H198" s="1" t="s">
        <v>5325</v>
      </c>
      <c r="I198" s="1">
        <v>8</v>
      </c>
      <c r="J198" s="1">
        <v>0</v>
      </c>
      <c r="K198" s="1">
        <v>0</v>
      </c>
      <c r="L198" s="1">
        <v>0</v>
      </c>
      <c r="M198" s="1" t="s">
        <v>937</v>
      </c>
      <c r="N198" s="1" t="s">
        <v>938</v>
      </c>
      <c r="O198" s="1" t="s">
        <v>939</v>
      </c>
      <c r="P198" s="1" t="s">
        <v>5326</v>
      </c>
      <c r="Q198" s="1" t="s">
        <v>5327</v>
      </c>
      <c r="R198" s="1">
        <v>12</v>
      </c>
      <c r="S198" s="1">
        <v>10</v>
      </c>
      <c r="T198" s="1" t="s">
        <v>5328</v>
      </c>
      <c r="U198" s="1" t="str">
        <f>HYPERLINK("http://dx.doi.org/10.4103/jfmpc.jfmpc_2343_21","http://dx.doi.org/10.4103/jfmpc.jfmpc_2343_21")</f>
        <v>http://dx.doi.org/10.4103/jfmpc.jfmpc_2343_21</v>
      </c>
      <c r="V198" s="1">
        <v>3</v>
      </c>
      <c r="W198" s="1" t="s">
        <v>5329</v>
      </c>
      <c r="X198" s="1" t="s">
        <v>124</v>
      </c>
      <c r="Y198" s="1" t="s">
        <v>477</v>
      </c>
      <c r="Z198" s="1">
        <v>38074223</v>
      </c>
      <c r="AA198" s="1" t="s">
        <v>125</v>
      </c>
    </row>
    <row r="199" spans="1:27" s="1" customFormat="1" ht="18.5" x14ac:dyDescent="0.45">
      <c r="A199" s="1" t="s">
        <v>5330</v>
      </c>
      <c r="B199" s="1" t="s">
        <v>5331</v>
      </c>
      <c r="C199" s="1" t="s">
        <v>571</v>
      </c>
      <c r="D199" s="1" t="s">
        <v>53</v>
      </c>
      <c r="E199" s="2">
        <v>2023</v>
      </c>
      <c r="F199" s="1" t="s">
        <v>5332</v>
      </c>
      <c r="G199" s="1" t="s">
        <v>4055</v>
      </c>
      <c r="H199" s="1" t="s">
        <v>1379</v>
      </c>
      <c r="I199" s="1">
        <v>58</v>
      </c>
      <c r="J199" s="1">
        <v>23</v>
      </c>
      <c r="K199" s="1">
        <v>2</v>
      </c>
      <c r="L199" s="1">
        <v>11</v>
      </c>
      <c r="M199" s="1" t="s">
        <v>572</v>
      </c>
      <c r="N199" s="1" t="s">
        <v>573</v>
      </c>
      <c r="O199" s="1" t="s">
        <v>574</v>
      </c>
      <c r="P199" s="1" t="s">
        <v>575</v>
      </c>
      <c r="Q199" s="1" t="s">
        <v>576</v>
      </c>
      <c r="R199" s="1">
        <v>57</v>
      </c>
      <c r="S199" s="1">
        <v>1</v>
      </c>
      <c r="T199" s="1" t="s">
        <v>5333</v>
      </c>
      <c r="U199" s="1" t="str">
        <f>HYPERLINK("http://dx.doi.org/10.1051/ro/2023005","http://dx.doi.org/10.1051/ro/2023005")</f>
        <v>http://dx.doi.org/10.1051/ro/2023005</v>
      </c>
      <c r="V199" s="1">
        <v>25</v>
      </c>
      <c r="W199" s="1" t="s">
        <v>580</v>
      </c>
      <c r="X199" s="1" t="s">
        <v>67</v>
      </c>
      <c r="Y199" s="1" t="s">
        <v>580</v>
      </c>
      <c r="Z199" s="1" t="s">
        <v>48</v>
      </c>
      <c r="AA199" s="1" t="s">
        <v>1696</v>
      </c>
    </row>
    <row r="200" spans="1:27" s="1" customFormat="1" ht="18.5" x14ac:dyDescent="0.45">
      <c r="A200" s="1" t="s">
        <v>5355</v>
      </c>
      <c r="B200" s="1" t="s">
        <v>5356</v>
      </c>
      <c r="C200" s="1" t="s">
        <v>2575</v>
      </c>
      <c r="D200" s="1" t="s">
        <v>111</v>
      </c>
      <c r="E200" s="2">
        <v>2023</v>
      </c>
      <c r="F200" s="1" t="s">
        <v>5357</v>
      </c>
      <c r="G200" s="1" t="s">
        <v>5358</v>
      </c>
      <c r="H200" s="1" t="s">
        <v>5359</v>
      </c>
      <c r="I200" s="1">
        <v>34</v>
      </c>
      <c r="J200" s="1">
        <v>0</v>
      </c>
      <c r="K200" s="1">
        <v>0</v>
      </c>
      <c r="L200" s="1">
        <v>4</v>
      </c>
      <c r="M200" s="1" t="s">
        <v>503</v>
      </c>
      <c r="N200" s="1" t="s">
        <v>542</v>
      </c>
      <c r="O200" s="1" t="s">
        <v>543</v>
      </c>
      <c r="P200" s="1" t="s">
        <v>2581</v>
      </c>
      <c r="Q200" s="1" t="s">
        <v>2582</v>
      </c>
      <c r="R200" s="1" t="s">
        <v>48</v>
      </c>
      <c r="S200" s="1" t="s">
        <v>48</v>
      </c>
      <c r="T200" s="1" t="s">
        <v>5360</v>
      </c>
      <c r="U200" s="1" t="str">
        <f>HYPERLINK("http://dx.doi.org/10.1007/s11042-023-17393-4","http://dx.doi.org/10.1007/s11042-023-17393-4")</f>
        <v>http://dx.doi.org/10.1007/s11042-023-17393-4</v>
      </c>
      <c r="V200" s="1">
        <v>23</v>
      </c>
      <c r="W200" s="1" t="s">
        <v>2586</v>
      </c>
      <c r="X200" s="1" t="s">
        <v>67</v>
      </c>
      <c r="Y200" s="1" t="s">
        <v>389</v>
      </c>
      <c r="Z200" s="1" t="s">
        <v>48</v>
      </c>
      <c r="AA200" s="1" t="s">
        <v>48</v>
      </c>
    </row>
    <row r="201" spans="1:27" s="1" customFormat="1" ht="18.5" x14ac:dyDescent="0.45">
      <c r="A201" s="1" t="s">
        <v>5397</v>
      </c>
      <c r="B201" s="1" t="s">
        <v>5398</v>
      </c>
      <c r="C201" s="1" t="s">
        <v>3854</v>
      </c>
      <c r="D201" s="1" t="s">
        <v>53</v>
      </c>
      <c r="E201" s="2">
        <v>2023</v>
      </c>
      <c r="F201" s="1" t="s">
        <v>5399</v>
      </c>
      <c r="G201" s="1" t="s">
        <v>4648</v>
      </c>
      <c r="H201" s="1" t="s">
        <v>5400</v>
      </c>
      <c r="I201" s="1">
        <v>41</v>
      </c>
      <c r="J201" s="1">
        <v>0</v>
      </c>
      <c r="K201" s="1">
        <v>0</v>
      </c>
      <c r="L201" s="1">
        <v>1</v>
      </c>
      <c r="M201" s="1" t="s">
        <v>3857</v>
      </c>
      <c r="N201" s="1" t="s">
        <v>3858</v>
      </c>
      <c r="O201" s="1" t="s">
        <v>3859</v>
      </c>
      <c r="P201" s="1" t="s">
        <v>3860</v>
      </c>
      <c r="Q201" s="1" t="s">
        <v>48</v>
      </c>
      <c r="R201" s="1">
        <v>18</v>
      </c>
      <c r="S201" s="1">
        <v>12</v>
      </c>
      <c r="T201" s="1" t="s">
        <v>5401</v>
      </c>
      <c r="U201" s="1" t="str">
        <f>HYPERLINK("http://dx.doi.org/10.25303/1812rjbt07013","http://dx.doi.org/10.25303/1812rjbt07013")</f>
        <v>http://dx.doi.org/10.25303/1812rjbt07013</v>
      </c>
      <c r="V201" s="1">
        <v>7</v>
      </c>
      <c r="W201" s="1" t="s">
        <v>1528</v>
      </c>
      <c r="X201" s="1" t="s">
        <v>124</v>
      </c>
      <c r="Y201" s="1" t="s">
        <v>1528</v>
      </c>
      <c r="Z201" s="1" t="s">
        <v>48</v>
      </c>
      <c r="AA201" s="1" t="s">
        <v>48</v>
      </c>
    </row>
    <row r="202" spans="1:27" s="1" customFormat="1" ht="18.5" x14ac:dyDescent="0.45">
      <c r="A202" s="1" t="s">
        <v>5402</v>
      </c>
      <c r="B202" s="1" t="s">
        <v>5403</v>
      </c>
      <c r="C202" s="1" t="s">
        <v>2002</v>
      </c>
      <c r="D202" s="1" t="s">
        <v>53</v>
      </c>
      <c r="E202" s="2">
        <v>2023</v>
      </c>
      <c r="F202" s="1" t="s">
        <v>5404</v>
      </c>
      <c r="G202" s="1" t="s">
        <v>5405</v>
      </c>
      <c r="H202" s="1" t="s">
        <v>5406</v>
      </c>
      <c r="I202" s="1">
        <v>60</v>
      </c>
      <c r="J202" s="1">
        <v>4</v>
      </c>
      <c r="K202" s="1">
        <v>0</v>
      </c>
      <c r="L202" s="1">
        <v>5</v>
      </c>
      <c r="M202" s="1" t="s">
        <v>503</v>
      </c>
      <c r="N202" s="1" t="s">
        <v>542</v>
      </c>
      <c r="O202" s="1" t="s">
        <v>543</v>
      </c>
      <c r="P202" s="1" t="s">
        <v>2008</v>
      </c>
      <c r="Q202" s="1" t="s">
        <v>2009</v>
      </c>
      <c r="R202" s="1">
        <v>31</v>
      </c>
      <c r="S202" s="1">
        <v>5</v>
      </c>
      <c r="T202" s="1" t="s">
        <v>5407</v>
      </c>
      <c r="U202" s="1" t="str">
        <f>HYPERLINK("http://dx.doi.org/10.1007/s10499-023-01107-6","http://dx.doi.org/10.1007/s10499-023-01107-6")</f>
        <v>http://dx.doi.org/10.1007/s10499-023-01107-6</v>
      </c>
      <c r="V202" s="1">
        <v>19</v>
      </c>
      <c r="W202" s="1" t="s">
        <v>2011</v>
      </c>
      <c r="X202" s="1" t="s">
        <v>67</v>
      </c>
      <c r="Y202" s="1" t="s">
        <v>2011</v>
      </c>
      <c r="Z202" s="1" t="s">
        <v>48</v>
      </c>
      <c r="AA202" s="1" t="s">
        <v>48</v>
      </c>
    </row>
    <row r="203" spans="1:27" s="1" customFormat="1" ht="18.5" x14ac:dyDescent="0.45">
      <c r="A203" s="1" t="s">
        <v>5425</v>
      </c>
      <c r="B203" s="1" t="s">
        <v>5426</v>
      </c>
      <c r="C203" s="1" t="s">
        <v>72</v>
      </c>
      <c r="D203" s="1" t="s">
        <v>53</v>
      </c>
      <c r="E203" s="2">
        <v>2023</v>
      </c>
      <c r="F203" s="1" t="s">
        <v>5427</v>
      </c>
      <c r="G203" s="1" t="s">
        <v>5268</v>
      </c>
      <c r="H203" s="1" t="s">
        <v>5269</v>
      </c>
      <c r="I203" s="1">
        <v>75</v>
      </c>
      <c r="J203" s="1">
        <v>13</v>
      </c>
      <c r="K203" s="1">
        <v>12</v>
      </c>
      <c r="L203" s="1">
        <v>49</v>
      </c>
      <c r="M203" s="1" t="s">
        <v>79</v>
      </c>
      <c r="N203" s="1" t="s">
        <v>80</v>
      </c>
      <c r="O203" s="1" t="s">
        <v>81</v>
      </c>
      <c r="P203" s="1" t="s">
        <v>82</v>
      </c>
      <c r="Q203" s="1" t="s">
        <v>83</v>
      </c>
      <c r="R203" s="1">
        <v>244</v>
      </c>
      <c r="S203" s="1" t="s">
        <v>48</v>
      </c>
      <c r="T203" s="1" t="s">
        <v>5428</v>
      </c>
      <c r="U203" s="1" t="str">
        <f>HYPERLINK("http://dx.doi.org/10.1016/j.ijbiomac.2023.125389","http://dx.doi.org/10.1016/j.ijbiomac.2023.125389")</f>
        <v>http://dx.doi.org/10.1016/j.ijbiomac.2023.125389</v>
      </c>
      <c r="V203" s="1">
        <v>13</v>
      </c>
      <c r="W203" s="1" t="s">
        <v>88</v>
      </c>
      <c r="X203" s="1" t="s">
        <v>67</v>
      </c>
      <c r="Y203" s="1" t="s">
        <v>89</v>
      </c>
      <c r="Z203" s="1">
        <v>37331539</v>
      </c>
      <c r="AA203" s="1" t="s">
        <v>48</v>
      </c>
    </row>
    <row r="204" spans="1:27" s="1" customFormat="1" ht="18.5" x14ac:dyDescent="0.45">
      <c r="A204" s="1" t="s">
        <v>5467</v>
      </c>
      <c r="B204" s="1" t="s">
        <v>5557</v>
      </c>
      <c r="C204" s="1" t="s">
        <v>5391</v>
      </c>
      <c r="D204" s="1" t="s">
        <v>53</v>
      </c>
      <c r="E204" s="2">
        <v>2023</v>
      </c>
      <c r="F204" s="1" t="s">
        <v>5470</v>
      </c>
      <c r="G204" s="1" t="s">
        <v>3900</v>
      </c>
      <c r="H204" s="1" t="s">
        <v>3901</v>
      </c>
      <c r="I204" s="1">
        <v>69</v>
      </c>
      <c r="J204" s="1">
        <v>28</v>
      </c>
      <c r="K204" s="1">
        <v>0</v>
      </c>
      <c r="L204" s="1">
        <v>0</v>
      </c>
      <c r="M204" s="1" t="s">
        <v>79</v>
      </c>
      <c r="N204" s="1" t="s">
        <v>80</v>
      </c>
      <c r="O204" s="1" t="s">
        <v>81</v>
      </c>
      <c r="P204" s="1" t="s">
        <v>5394</v>
      </c>
      <c r="Q204" s="1" t="s">
        <v>48</v>
      </c>
      <c r="R204" s="1">
        <v>15</v>
      </c>
      <c r="S204" s="1" t="s">
        <v>48</v>
      </c>
      <c r="T204" s="1" t="s">
        <v>5558</v>
      </c>
      <c r="U204" s="1" t="str">
        <f>HYPERLINK("http://dx.doi.org/10.1016/j.ceja.2023.100517","http://dx.doi.org/10.1016/j.ceja.2023.100517")</f>
        <v>http://dx.doi.org/10.1016/j.ceja.2023.100517</v>
      </c>
      <c r="V204" s="1">
        <v>22</v>
      </c>
      <c r="W204" s="1" t="s">
        <v>3357</v>
      </c>
      <c r="X204" s="1" t="s">
        <v>124</v>
      </c>
      <c r="Y204" s="1" t="s">
        <v>1733</v>
      </c>
      <c r="Z204" s="1" t="s">
        <v>48</v>
      </c>
      <c r="AA204" s="1" t="s">
        <v>125</v>
      </c>
    </row>
    <row r="205" spans="1:27" s="1" customFormat="1" ht="18.5" x14ac:dyDescent="0.45">
      <c r="A205" s="1" t="s">
        <v>5559</v>
      </c>
      <c r="B205" s="1" t="s">
        <v>5560</v>
      </c>
      <c r="C205" s="1" t="s">
        <v>2564</v>
      </c>
      <c r="D205" s="1" t="s">
        <v>53</v>
      </c>
      <c r="E205" s="2">
        <v>2023</v>
      </c>
      <c r="F205" s="1" t="s">
        <v>5561</v>
      </c>
      <c r="G205" s="1" t="s">
        <v>5562</v>
      </c>
      <c r="H205" s="1" t="s">
        <v>5563</v>
      </c>
      <c r="I205" s="1">
        <v>32</v>
      </c>
      <c r="J205" s="1">
        <v>5</v>
      </c>
      <c r="K205" s="1">
        <v>0</v>
      </c>
      <c r="L205" s="1">
        <v>0</v>
      </c>
      <c r="M205" s="1" t="s">
        <v>2567</v>
      </c>
      <c r="N205" s="1" t="s">
        <v>239</v>
      </c>
      <c r="O205" s="1" t="s">
        <v>2568</v>
      </c>
      <c r="P205" s="1" t="s">
        <v>2569</v>
      </c>
      <c r="Q205" s="1" t="s">
        <v>2570</v>
      </c>
      <c r="R205" s="1">
        <v>20</v>
      </c>
      <c r="S205" s="1" t="s">
        <v>48</v>
      </c>
      <c r="T205" s="1" t="s">
        <v>5564</v>
      </c>
      <c r="U205" s="1" t="str">
        <f>HYPERLINK("http://dx.doi.org/10.1016/j.cegh.2023.101218","http://dx.doi.org/10.1016/j.cegh.2023.101218")</f>
        <v>http://dx.doi.org/10.1016/j.cegh.2023.101218</v>
      </c>
      <c r="V205" s="1">
        <v>8</v>
      </c>
      <c r="W205" s="1" t="s">
        <v>943</v>
      </c>
      <c r="X205" s="1" t="s">
        <v>124</v>
      </c>
      <c r="Y205" s="1" t="s">
        <v>943</v>
      </c>
      <c r="Z205" s="1" t="s">
        <v>48</v>
      </c>
      <c r="AA205" s="1" t="s">
        <v>125</v>
      </c>
    </row>
    <row r="206" spans="1:27" s="1" customFormat="1" ht="18.5" x14ac:dyDescent="0.45">
      <c r="A206" s="1" t="s">
        <v>5565</v>
      </c>
      <c r="B206" s="1" t="s">
        <v>5566</v>
      </c>
      <c r="C206" s="1" t="s">
        <v>5567</v>
      </c>
      <c r="D206" s="1" t="s">
        <v>53</v>
      </c>
      <c r="E206" s="2">
        <v>2023</v>
      </c>
      <c r="F206" s="1" t="s">
        <v>5568</v>
      </c>
      <c r="G206" s="1" t="s">
        <v>3976</v>
      </c>
      <c r="H206" s="1" t="s">
        <v>5569</v>
      </c>
      <c r="I206" s="1">
        <v>58</v>
      </c>
      <c r="J206" s="1">
        <v>9</v>
      </c>
      <c r="K206" s="1">
        <v>2</v>
      </c>
      <c r="L206" s="1">
        <v>20</v>
      </c>
      <c r="M206" s="1" t="s">
        <v>347</v>
      </c>
      <c r="N206" s="1" t="s">
        <v>348</v>
      </c>
      <c r="O206" s="1" t="s">
        <v>349</v>
      </c>
      <c r="P206" s="1" t="s">
        <v>5570</v>
      </c>
      <c r="Q206" s="1" t="s">
        <v>5571</v>
      </c>
      <c r="R206" s="1">
        <v>8</v>
      </c>
      <c r="S206" s="1">
        <v>1</v>
      </c>
      <c r="T206" s="1" t="s">
        <v>5572</v>
      </c>
      <c r="U206" s="1" t="str">
        <f>HYPERLINK("http://dx.doi.org/10.1049/cit2.12144","http://dx.doi.org/10.1049/cit2.12144")</f>
        <v>http://dx.doi.org/10.1049/cit2.12144</v>
      </c>
      <c r="V206" s="1">
        <v>16</v>
      </c>
      <c r="W206" s="1" t="s">
        <v>549</v>
      </c>
      <c r="X206" s="1" t="s">
        <v>67</v>
      </c>
      <c r="Y206" s="1" t="s">
        <v>292</v>
      </c>
      <c r="Z206" s="1">
        <v>36712294</v>
      </c>
      <c r="AA206" s="1" t="s">
        <v>1325</v>
      </c>
    </row>
    <row r="207" spans="1:27" s="1" customFormat="1" ht="18.5" x14ac:dyDescent="0.45">
      <c r="A207" s="1" t="s">
        <v>5588</v>
      </c>
      <c r="B207" s="1" t="s">
        <v>5589</v>
      </c>
      <c r="C207" s="1" t="s">
        <v>5590</v>
      </c>
      <c r="D207" s="1" t="s">
        <v>53</v>
      </c>
      <c r="E207" s="2">
        <v>2023</v>
      </c>
      <c r="F207" s="1" t="s">
        <v>5591</v>
      </c>
      <c r="G207" s="1" t="s">
        <v>4639</v>
      </c>
      <c r="H207" s="1" t="s">
        <v>5592</v>
      </c>
      <c r="I207" s="1">
        <v>40</v>
      </c>
      <c r="J207" s="1">
        <v>4</v>
      </c>
      <c r="K207" s="1">
        <v>2</v>
      </c>
      <c r="L207" s="1">
        <v>3</v>
      </c>
      <c r="M207" s="1" t="s">
        <v>132</v>
      </c>
      <c r="N207" s="1" t="s">
        <v>133</v>
      </c>
      <c r="O207" s="1" t="s">
        <v>134</v>
      </c>
      <c r="P207" s="1" t="s">
        <v>5593</v>
      </c>
      <c r="Q207" s="1" t="s">
        <v>5594</v>
      </c>
      <c r="R207" s="1">
        <v>45</v>
      </c>
      <c r="S207" s="1">
        <v>9</v>
      </c>
      <c r="T207" s="1" t="s">
        <v>5595</v>
      </c>
      <c r="U207" s="1" t="str">
        <f>HYPERLINK("http://dx.doi.org/10.3390/cimb45090467","http://dx.doi.org/10.3390/cimb45090467")</f>
        <v>http://dx.doi.org/10.3390/cimb45090467</v>
      </c>
      <c r="V207" s="1">
        <v>16</v>
      </c>
      <c r="W207" s="1" t="s">
        <v>5596</v>
      </c>
      <c r="X207" s="1" t="s">
        <v>67</v>
      </c>
      <c r="Y207" s="1" t="s">
        <v>5596</v>
      </c>
      <c r="Z207" s="1">
        <v>37754251</v>
      </c>
      <c r="AA207" s="1" t="s">
        <v>337</v>
      </c>
    </row>
    <row r="208" spans="1:27" s="1" customFormat="1" ht="18.5" x14ac:dyDescent="0.45">
      <c r="A208" s="1" t="s">
        <v>5597</v>
      </c>
      <c r="B208" s="1" t="s">
        <v>5598</v>
      </c>
      <c r="C208" s="1" t="s">
        <v>1812</v>
      </c>
      <c r="D208" s="1" t="s">
        <v>53</v>
      </c>
      <c r="E208" s="2">
        <v>2023</v>
      </c>
      <c r="F208" s="1" t="s">
        <v>5599</v>
      </c>
      <c r="G208" s="1" t="s">
        <v>2374</v>
      </c>
      <c r="H208" s="1" t="s">
        <v>5600</v>
      </c>
      <c r="I208" s="1">
        <v>54</v>
      </c>
      <c r="J208" s="1">
        <v>7</v>
      </c>
      <c r="K208" s="1">
        <v>0</v>
      </c>
      <c r="L208" s="1">
        <v>4</v>
      </c>
      <c r="M208" s="1" t="s">
        <v>503</v>
      </c>
      <c r="N208" s="1" t="s">
        <v>504</v>
      </c>
      <c r="O208" s="1" t="s">
        <v>505</v>
      </c>
      <c r="P208" s="1" t="s">
        <v>1814</v>
      </c>
      <c r="Q208" s="1" t="s">
        <v>1815</v>
      </c>
      <c r="R208" s="1">
        <v>27</v>
      </c>
      <c r="S208" s="1">
        <v>20</v>
      </c>
      <c r="T208" s="1" t="s">
        <v>5601</v>
      </c>
      <c r="U208" s="1" t="str">
        <f>HYPERLINK("http://dx.doi.org/10.1007/s00500-023-08636-5","http://dx.doi.org/10.1007/s00500-023-08636-5")</f>
        <v>http://dx.doi.org/10.1007/s00500-023-08636-5</v>
      </c>
      <c r="V208" s="1">
        <v>23</v>
      </c>
      <c r="W208" s="1" t="s">
        <v>1746</v>
      </c>
      <c r="X208" s="1" t="s">
        <v>67</v>
      </c>
      <c r="Y208" s="1" t="s">
        <v>292</v>
      </c>
      <c r="Z208" s="1" t="s">
        <v>48</v>
      </c>
      <c r="AA208" s="1" t="s">
        <v>48</v>
      </c>
    </row>
    <row r="209" spans="1:27" s="1" customFormat="1" ht="18.5" x14ac:dyDescent="0.45">
      <c r="A209" s="1" t="s">
        <v>5602</v>
      </c>
      <c r="B209" s="1" t="s">
        <v>5603</v>
      </c>
      <c r="C209" s="1" t="s">
        <v>5604</v>
      </c>
      <c r="D209" s="1" t="s">
        <v>53</v>
      </c>
      <c r="E209" s="2">
        <v>2023</v>
      </c>
      <c r="F209" s="1" t="s">
        <v>5605</v>
      </c>
      <c r="G209" s="1" t="s">
        <v>5606</v>
      </c>
      <c r="H209" s="1" t="s">
        <v>5607</v>
      </c>
      <c r="I209" s="1">
        <v>38</v>
      </c>
      <c r="J209" s="1">
        <v>1</v>
      </c>
      <c r="K209" s="1">
        <v>2</v>
      </c>
      <c r="L209" s="1">
        <v>10</v>
      </c>
      <c r="M209" s="1" t="s">
        <v>5608</v>
      </c>
      <c r="N209" s="1" t="s">
        <v>5609</v>
      </c>
      <c r="O209" s="1" t="s">
        <v>5610</v>
      </c>
      <c r="P209" s="1" t="s">
        <v>5611</v>
      </c>
      <c r="Q209" s="1" t="s">
        <v>5612</v>
      </c>
      <c r="R209" s="1">
        <v>58</v>
      </c>
      <c r="S209" s="1">
        <v>2</v>
      </c>
      <c r="T209" s="1" t="s">
        <v>5615</v>
      </c>
      <c r="U209" s="1" t="str">
        <f>HYPERLINK("http://dx.doi.org/10.1007/s12601-023-00107-0","http://dx.doi.org/10.1007/s12601-023-00107-0")</f>
        <v>http://dx.doi.org/10.1007/s12601-023-00107-0</v>
      </c>
      <c r="V209" s="1">
        <v>12</v>
      </c>
      <c r="W209" s="1" t="s">
        <v>5616</v>
      </c>
      <c r="X209" s="1" t="s">
        <v>67</v>
      </c>
      <c r="Y209" s="1" t="s">
        <v>5616</v>
      </c>
      <c r="Z209" s="1" t="s">
        <v>48</v>
      </c>
      <c r="AA209" s="1" t="s">
        <v>2074</v>
      </c>
    </row>
    <row r="210" spans="1:27" s="1" customFormat="1" ht="18.5" x14ac:dyDescent="0.45">
      <c r="A210" s="1" t="s">
        <v>5626</v>
      </c>
      <c r="B210" s="1" t="s">
        <v>5627</v>
      </c>
      <c r="C210" s="1" t="s">
        <v>5628</v>
      </c>
      <c r="D210" s="1" t="s">
        <v>53</v>
      </c>
      <c r="E210" s="2">
        <v>2023</v>
      </c>
      <c r="F210" s="1" t="s">
        <v>5629</v>
      </c>
      <c r="G210" s="1" t="s">
        <v>5630</v>
      </c>
      <c r="H210" s="1" t="s">
        <v>3901</v>
      </c>
      <c r="I210" s="1">
        <v>72</v>
      </c>
      <c r="J210" s="1">
        <v>24</v>
      </c>
      <c r="K210" s="1">
        <v>0</v>
      </c>
      <c r="L210" s="1">
        <v>2</v>
      </c>
      <c r="M210" s="1" t="s">
        <v>347</v>
      </c>
      <c r="N210" s="1" t="s">
        <v>348</v>
      </c>
      <c r="O210" s="1" t="s">
        <v>5631</v>
      </c>
      <c r="P210" s="1" t="s">
        <v>5632</v>
      </c>
      <c r="Q210" s="1" t="s">
        <v>5633</v>
      </c>
      <c r="R210" s="1">
        <v>52</v>
      </c>
      <c r="S210" s="1">
        <v>4</v>
      </c>
      <c r="T210" s="1" t="s">
        <v>5634</v>
      </c>
      <c r="U210" s="1" t="str">
        <f>HYPERLINK("http://dx.doi.org/10.1002/htj.22814","http://dx.doi.org/10.1002/htj.22814")</f>
        <v>http://dx.doi.org/10.1002/htj.22814</v>
      </c>
      <c r="V210" s="1">
        <v>32</v>
      </c>
      <c r="W210" s="1" t="s">
        <v>5635</v>
      </c>
      <c r="X210" s="1" t="s">
        <v>124</v>
      </c>
      <c r="Y210" s="1" t="s">
        <v>5635</v>
      </c>
      <c r="Z210" s="1" t="s">
        <v>48</v>
      </c>
      <c r="AA210" s="1" t="s">
        <v>48</v>
      </c>
    </row>
    <row r="211" spans="1:27" s="1" customFormat="1" ht="18.5" x14ac:dyDescent="0.45">
      <c r="A211" s="1" t="s">
        <v>5636</v>
      </c>
      <c r="B211" s="1" t="s">
        <v>5637</v>
      </c>
      <c r="C211" s="1" t="s">
        <v>5638</v>
      </c>
      <c r="D211" s="1" t="s">
        <v>53</v>
      </c>
      <c r="E211" s="2">
        <v>2023</v>
      </c>
      <c r="F211" s="1" t="s">
        <v>5639</v>
      </c>
      <c r="G211" s="1" t="s">
        <v>5640</v>
      </c>
      <c r="H211" s="1" t="s">
        <v>5641</v>
      </c>
      <c r="I211" s="1">
        <v>69</v>
      </c>
      <c r="J211" s="1">
        <v>0</v>
      </c>
      <c r="K211" s="1">
        <v>0</v>
      </c>
      <c r="L211" s="1">
        <v>0</v>
      </c>
      <c r="M211" s="1" t="s">
        <v>5642</v>
      </c>
      <c r="N211" s="1" t="s">
        <v>5643</v>
      </c>
      <c r="O211" s="1" t="s">
        <v>5644</v>
      </c>
      <c r="P211" s="1" t="s">
        <v>5645</v>
      </c>
      <c r="Q211" s="1" t="s">
        <v>48</v>
      </c>
      <c r="R211" s="1">
        <v>61</v>
      </c>
      <c r="S211" s="1">
        <v>2</v>
      </c>
      <c r="T211" s="1" t="s">
        <v>5648</v>
      </c>
      <c r="U211" s="1" t="str">
        <f>HYPERLINK("http://dx.doi.org/10.26720/anthro.23.04.21.1","http://dx.doi.org/10.26720/anthro.23.04.21.1")</f>
        <v>http://dx.doi.org/10.26720/anthro.23.04.21.1</v>
      </c>
      <c r="V211" s="1">
        <v>21</v>
      </c>
      <c r="W211" s="1" t="s">
        <v>1616</v>
      </c>
      <c r="X211" s="1" t="s">
        <v>124</v>
      </c>
      <c r="Y211" s="1" t="s">
        <v>1616</v>
      </c>
      <c r="Z211" s="1" t="s">
        <v>48</v>
      </c>
      <c r="AA211" s="1" t="s">
        <v>48</v>
      </c>
    </row>
    <row r="212" spans="1:27" s="1" customFormat="1" ht="18.5" x14ac:dyDescent="0.45">
      <c r="A212" s="1" t="s">
        <v>5704</v>
      </c>
      <c r="B212" s="1" t="s">
        <v>5705</v>
      </c>
      <c r="C212" s="1" t="s">
        <v>5706</v>
      </c>
      <c r="D212" s="1" t="s">
        <v>111</v>
      </c>
      <c r="E212" s="2">
        <v>2023</v>
      </c>
      <c r="F212" s="1" t="s">
        <v>5707</v>
      </c>
      <c r="G212" s="1" t="s">
        <v>5708</v>
      </c>
      <c r="H212" s="1" t="s">
        <v>645</v>
      </c>
      <c r="I212" s="1">
        <v>48</v>
      </c>
      <c r="J212" s="1">
        <v>1</v>
      </c>
      <c r="K212" s="1">
        <v>0</v>
      </c>
      <c r="L212" s="1">
        <v>5</v>
      </c>
      <c r="M212" s="1" t="s">
        <v>1242</v>
      </c>
      <c r="N212" s="1" t="s">
        <v>1243</v>
      </c>
      <c r="O212" s="1" t="s">
        <v>1244</v>
      </c>
      <c r="P212" s="1" t="s">
        <v>5709</v>
      </c>
      <c r="Q212" s="1" t="s">
        <v>5710</v>
      </c>
      <c r="R212" s="1" t="s">
        <v>48</v>
      </c>
      <c r="S212" s="1" t="s">
        <v>48</v>
      </c>
      <c r="T212" s="1" t="s">
        <v>5711</v>
      </c>
      <c r="U212" s="1" t="str">
        <f>HYPERLINK("http://dx.doi.org/10.1080/10407782.2023.2280194","http://dx.doi.org/10.1080/10407782.2023.2280194")</f>
        <v>http://dx.doi.org/10.1080/10407782.2023.2280194</v>
      </c>
      <c r="V212" s="1">
        <v>27</v>
      </c>
      <c r="W212" s="1" t="s">
        <v>5712</v>
      </c>
      <c r="X212" s="1" t="s">
        <v>67</v>
      </c>
      <c r="Y212" s="1" t="s">
        <v>5712</v>
      </c>
      <c r="Z212" s="1" t="s">
        <v>48</v>
      </c>
      <c r="AA212" s="1" t="s">
        <v>48</v>
      </c>
    </row>
    <row r="213" spans="1:27" s="1" customFormat="1" ht="18.5" x14ac:dyDescent="0.45">
      <c r="A213" s="1" t="s">
        <v>5714</v>
      </c>
      <c r="B213" s="1" t="s">
        <v>5715</v>
      </c>
      <c r="C213" s="1" t="s">
        <v>5716</v>
      </c>
      <c r="D213" s="1" t="s">
        <v>53</v>
      </c>
      <c r="E213" s="2">
        <v>2023</v>
      </c>
      <c r="F213" s="1" t="s">
        <v>5717</v>
      </c>
      <c r="G213" s="1" t="s">
        <v>5718</v>
      </c>
      <c r="H213" s="1" t="s">
        <v>5719</v>
      </c>
      <c r="I213" s="1">
        <v>51</v>
      </c>
      <c r="J213" s="1">
        <v>3</v>
      </c>
      <c r="K213" s="1">
        <v>5</v>
      </c>
      <c r="L213" s="1">
        <v>21</v>
      </c>
      <c r="M213" s="1" t="s">
        <v>347</v>
      </c>
      <c r="N213" s="1" t="s">
        <v>348</v>
      </c>
      <c r="O213" s="1" t="s">
        <v>349</v>
      </c>
      <c r="P213" s="1" t="s">
        <v>5720</v>
      </c>
      <c r="Q213" s="1" t="s">
        <v>5721</v>
      </c>
      <c r="R213" s="1">
        <v>16</v>
      </c>
      <c r="S213" s="1">
        <v>1</v>
      </c>
      <c r="T213" s="1" t="s">
        <v>5722</v>
      </c>
      <c r="U213" s="1" t="str">
        <f>HYPERLINK("http://dx.doi.org/10.1002/eco.2486","http://dx.doi.org/10.1002/eco.2486")</f>
        <v>http://dx.doi.org/10.1002/eco.2486</v>
      </c>
      <c r="V213" s="1">
        <v>11</v>
      </c>
      <c r="W213" s="1" t="s">
        <v>5723</v>
      </c>
      <c r="X213" s="1" t="s">
        <v>67</v>
      </c>
      <c r="Y213" s="1" t="s">
        <v>5724</v>
      </c>
      <c r="Z213" s="1" t="s">
        <v>48</v>
      </c>
      <c r="AA213" s="1" t="s">
        <v>48</v>
      </c>
    </row>
    <row r="214" spans="1:27" s="1" customFormat="1" ht="18.5" x14ac:dyDescent="0.45">
      <c r="A214" s="1" t="s">
        <v>5583</v>
      </c>
      <c r="B214" s="1" t="s">
        <v>5725</v>
      </c>
      <c r="C214" s="1" t="s">
        <v>5238</v>
      </c>
      <c r="D214" s="1" t="s">
        <v>53</v>
      </c>
      <c r="E214" s="2">
        <v>2023</v>
      </c>
      <c r="F214" s="1" t="s">
        <v>5585</v>
      </c>
      <c r="G214" s="1" t="s">
        <v>5586</v>
      </c>
      <c r="H214" s="1" t="s">
        <v>227</v>
      </c>
      <c r="I214" s="1">
        <v>40</v>
      </c>
      <c r="J214" s="1">
        <v>19</v>
      </c>
      <c r="K214" s="1">
        <v>2</v>
      </c>
      <c r="L214" s="1">
        <v>7</v>
      </c>
      <c r="M214" s="1" t="s">
        <v>503</v>
      </c>
      <c r="N214" s="1" t="s">
        <v>504</v>
      </c>
      <c r="O214" s="1" t="s">
        <v>505</v>
      </c>
      <c r="P214" s="1" t="s">
        <v>5244</v>
      </c>
      <c r="Q214" s="1" t="s">
        <v>5245</v>
      </c>
      <c r="R214" s="1">
        <v>31</v>
      </c>
      <c r="S214" s="1">
        <v>1</v>
      </c>
      <c r="T214" s="1" t="s">
        <v>5726</v>
      </c>
      <c r="U214" s="1" t="str">
        <f>HYPERLINK("http://dx.doi.org/10.1007/s10100-022-00811-7","http://dx.doi.org/10.1007/s10100-022-00811-7")</f>
        <v>http://dx.doi.org/10.1007/s10100-022-00811-7</v>
      </c>
      <c r="V214" s="1">
        <v>26</v>
      </c>
      <c r="W214" s="1" t="s">
        <v>580</v>
      </c>
      <c r="X214" s="1" t="s">
        <v>67</v>
      </c>
      <c r="Y214" s="1" t="s">
        <v>580</v>
      </c>
      <c r="Z214" s="1" t="s">
        <v>48</v>
      </c>
      <c r="AA214" s="1" t="s">
        <v>48</v>
      </c>
    </row>
    <row r="215" spans="1:27" s="1" customFormat="1" ht="18.5" x14ac:dyDescent="0.45">
      <c r="A215" s="1" t="s">
        <v>5820</v>
      </c>
      <c r="B215" s="1" t="s">
        <v>5821</v>
      </c>
      <c r="C215" s="1" t="s">
        <v>250</v>
      </c>
      <c r="D215" s="1" t="s">
        <v>53</v>
      </c>
      <c r="E215" s="2">
        <v>2023</v>
      </c>
      <c r="F215" s="1" t="s">
        <v>5822</v>
      </c>
      <c r="G215" s="1" t="s">
        <v>5823</v>
      </c>
      <c r="H215" s="1" t="s">
        <v>3564</v>
      </c>
      <c r="I215" s="1">
        <v>62</v>
      </c>
      <c r="J215" s="1">
        <v>4</v>
      </c>
      <c r="K215" s="1">
        <v>0</v>
      </c>
      <c r="L215" s="1">
        <v>6</v>
      </c>
      <c r="M215" s="1" t="s">
        <v>252</v>
      </c>
      <c r="N215" s="1" t="s">
        <v>253</v>
      </c>
      <c r="O215" s="1" t="s">
        <v>254</v>
      </c>
      <c r="P215" s="1" t="s">
        <v>255</v>
      </c>
      <c r="Q215" s="1" t="s">
        <v>256</v>
      </c>
      <c r="R215" s="1">
        <v>42</v>
      </c>
      <c r="S215" s="1">
        <v>6</v>
      </c>
      <c r="T215" s="1" t="s">
        <v>5824</v>
      </c>
      <c r="U215" s="1" t="str">
        <f>HYPERLINK("http://dx.doi.org/10.1007/s40314-023-02422-7","http://dx.doi.org/10.1007/s40314-023-02422-7")</f>
        <v>http://dx.doi.org/10.1007/s40314-023-02422-7</v>
      </c>
      <c r="V215" s="1">
        <v>27</v>
      </c>
      <c r="W215" s="1" t="s">
        <v>260</v>
      </c>
      <c r="X215" s="1" t="s">
        <v>67</v>
      </c>
      <c r="Y215" s="1" t="s">
        <v>137</v>
      </c>
      <c r="Z215" s="1" t="s">
        <v>48</v>
      </c>
      <c r="AA215" s="1" t="s">
        <v>48</v>
      </c>
    </row>
    <row r="216" spans="1:27" s="1" customFormat="1" ht="18.5" x14ac:dyDescent="0.45">
      <c r="A216" s="1" t="s">
        <v>5843</v>
      </c>
      <c r="B216" s="1" t="s">
        <v>5844</v>
      </c>
      <c r="C216" s="1" t="s">
        <v>327</v>
      </c>
      <c r="D216" s="1" t="s">
        <v>53</v>
      </c>
      <c r="E216" s="2">
        <v>2023</v>
      </c>
      <c r="F216" s="1" t="s">
        <v>5845</v>
      </c>
      <c r="G216" s="1" t="s">
        <v>5846</v>
      </c>
      <c r="H216" s="1" t="s">
        <v>5847</v>
      </c>
      <c r="I216" s="1">
        <v>44</v>
      </c>
      <c r="J216" s="1">
        <v>4</v>
      </c>
      <c r="K216" s="1">
        <v>0</v>
      </c>
      <c r="L216" s="1">
        <v>0</v>
      </c>
      <c r="M216" s="1" t="s">
        <v>330</v>
      </c>
      <c r="N216" s="1" t="s">
        <v>331</v>
      </c>
      <c r="O216" s="1" t="s">
        <v>332</v>
      </c>
      <c r="P216" s="1" t="s">
        <v>333</v>
      </c>
      <c r="Q216" s="1" t="s">
        <v>48</v>
      </c>
      <c r="R216" s="1">
        <v>18</v>
      </c>
      <c r="S216" s="1">
        <v>7</v>
      </c>
      <c r="T216" s="1" t="s">
        <v>5848</v>
      </c>
      <c r="U216" s="1" t="str">
        <f>HYPERLINK("http://dx.doi.org/10.1371/journal.pone.0287625","http://dx.doi.org/10.1371/journal.pone.0287625")</f>
        <v>http://dx.doi.org/10.1371/journal.pone.0287625</v>
      </c>
      <c r="V216" s="1">
        <v>15</v>
      </c>
      <c r="W216" s="1" t="s">
        <v>335</v>
      </c>
      <c r="X216" s="1" t="s">
        <v>67</v>
      </c>
      <c r="Y216" s="1" t="s">
        <v>336</v>
      </c>
      <c r="Z216" s="1">
        <v>37450509</v>
      </c>
      <c r="AA216" s="1" t="s">
        <v>337</v>
      </c>
    </row>
    <row r="217" spans="1:27" s="1" customFormat="1" ht="18.5" x14ac:dyDescent="0.45">
      <c r="A217" s="1" t="s">
        <v>5866</v>
      </c>
      <c r="B217" s="1" t="s">
        <v>5867</v>
      </c>
      <c r="C217" s="1" t="s">
        <v>5868</v>
      </c>
      <c r="D217" s="1" t="s">
        <v>53</v>
      </c>
      <c r="E217" s="2">
        <v>2023</v>
      </c>
      <c r="F217" s="1" t="s">
        <v>5869</v>
      </c>
      <c r="G217" s="1" t="s">
        <v>5870</v>
      </c>
      <c r="H217" s="1" t="s">
        <v>5871</v>
      </c>
      <c r="I217" s="1">
        <v>80</v>
      </c>
      <c r="J217" s="1">
        <v>18</v>
      </c>
      <c r="K217" s="1">
        <v>8</v>
      </c>
      <c r="L217" s="1">
        <v>20</v>
      </c>
      <c r="M217" s="1" t="s">
        <v>5872</v>
      </c>
      <c r="N217" s="1" t="s">
        <v>4089</v>
      </c>
      <c r="O217" s="1" t="s">
        <v>5873</v>
      </c>
      <c r="P217" s="1" t="s">
        <v>5874</v>
      </c>
      <c r="Q217" s="1" t="s">
        <v>5875</v>
      </c>
      <c r="R217" s="1">
        <v>21</v>
      </c>
      <c r="S217" s="1">
        <v>3</v>
      </c>
      <c r="T217" s="1" t="s">
        <v>5876</v>
      </c>
      <c r="U217" s="1" t="str">
        <f>HYPERLINK("http://dx.doi.org/10.22190/FUME230824036R","http://dx.doi.org/10.22190/FUME230824036R")</f>
        <v>http://dx.doi.org/10.22190/FUME230824036R</v>
      </c>
      <c r="V217" s="1">
        <v>17</v>
      </c>
      <c r="W217" s="1" t="s">
        <v>4630</v>
      </c>
      <c r="X217" s="1" t="s">
        <v>67</v>
      </c>
      <c r="Y217" s="1" t="s">
        <v>1733</v>
      </c>
      <c r="Z217" s="1" t="s">
        <v>48</v>
      </c>
      <c r="AA217" s="1" t="s">
        <v>125</v>
      </c>
    </row>
    <row r="218" spans="1:27" s="1" customFormat="1" ht="18.5" x14ac:dyDescent="0.45">
      <c r="A218" s="1" t="s">
        <v>5877</v>
      </c>
      <c r="B218" s="1" t="s">
        <v>5878</v>
      </c>
      <c r="C218" s="1" t="s">
        <v>2194</v>
      </c>
      <c r="D218" s="1" t="s">
        <v>53</v>
      </c>
      <c r="E218" s="2">
        <v>2023</v>
      </c>
      <c r="F218" s="1" t="s">
        <v>5879</v>
      </c>
      <c r="G218" s="1" t="s">
        <v>5880</v>
      </c>
      <c r="H218" s="1" t="s">
        <v>5881</v>
      </c>
      <c r="I218" s="1">
        <v>69</v>
      </c>
      <c r="J218" s="1">
        <v>2</v>
      </c>
      <c r="K218" s="1">
        <v>3</v>
      </c>
      <c r="L218" s="1">
        <v>8</v>
      </c>
      <c r="M218" s="1" t="s">
        <v>503</v>
      </c>
      <c r="N218" s="1" t="s">
        <v>542</v>
      </c>
      <c r="O218" s="1" t="s">
        <v>543</v>
      </c>
      <c r="P218" s="1" t="s">
        <v>2195</v>
      </c>
      <c r="Q218" s="1" t="s">
        <v>2196</v>
      </c>
      <c r="R218" s="1">
        <v>88</v>
      </c>
      <c r="S218" s="1">
        <v>4</v>
      </c>
      <c r="T218" s="1" t="s">
        <v>5882</v>
      </c>
      <c r="U218" s="1" t="str">
        <f>HYPERLINK("http://dx.doi.org/10.1007/s10708-023-10838-1","http://dx.doi.org/10.1007/s10708-023-10838-1")</f>
        <v>http://dx.doi.org/10.1007/s10708-023-10838-1</v>
      </c>
      <c r="V218" s="1">
        <v>24</v>
      </c>
      <c r="W218" s="1" t="s">
        <v>493</v>
      </c>
      <c r="X218" s="1" t="s">
        <v>124</v>
      </c>
      <c r="Y218" s="1" t="s">
        <v>493</v>
      </c>
      <c r="Z218" s="1">
        <v>38625266</v>
      </c>
      <c r="AA218" s="1" t="s">
        <v>1003</v>
      </c>
    </row>
    <row r="219" spans="1:27" s="1" customFormat="1" ht="18.5" x14ac:dyDescent="0.45">
      <c r="A219" s="1" t="s">
        <v>5914</v>
      </c>
      <c r="B219" s="1" t="s">
        <v>5915</v>
      </c>
      <c r="C219" s="1" t="s">
        <v>5916</v>
      </c>
      <c r="D219" s="1" t="s">
        <v>111</v>
      </c>
      <c r="E219" s="2">
        <v>2023</v>
      </c>
      <c r="F219" s="1" t="s">
        <v>5917</v>
      </c>
      <c r="G219" s="1" t="s">
        <v>5918</v>
      </c>
      <c r="H219" s="1" t="s">
        <v>5919</v>
      </c>
      <c r="I219" s="1">
        <v>89</v>
      </c>
      <c r="J219" s="1">
        <v>0</v>
      </c>
      <c r="K219" s="1">
        <v>1</v>
      </c>
      <c r="L219" s="1">
        <v>8</v>
      </c>
      <c r="M219" s="1" t="s">
        <v>530</v>
      </c>
      <c r="N219" s="1" t="s">
        <v>531</v>
      </c>
      <c r="O219" s="1" t="s">
        <v>532</v>
      </c>
      <c r="P219" s="1" t="s">
        <v>5920</v>
      </c>
      <c r="Q219" s="1" t="s">
        <v>5921</v>
      </c>
      <c r="R219" s="1" t="s">
        <v>48</v>
      </c>
      <c r="S219" s="1" t="s">
        <v>48</v>
      </c>
      <c r="T219" s="1" t="s">
        <v>5922</v>
      </c>
      <c r="U219" s="1" t="str">
        <f>HYPERLINK("http://dx.doi.org/10.1108/K-06-2023-1002","http://dx.doi.org/10.1108/K-06-2023-1002")</f>
        <v>http://dx.doi.org/10.1108/K-06-2023-1002</v>
      </c>
      <c r="V219" s="1">
        <v>22</v>
      </c>
      <c r="W219" s="1" t="s">
        <v>5923</v>
      </c>
      <c r="X219" s="1" t="s">
        <v>67</v>
      </c>
      <c r="Y219" s="1" t="s">
        <v>292</v>
      </c>
      <c r="Z219" s="1" t="s">
        <v>48</v>
      </c>
      <c r="AA219" s="1" t="s">
        <v>48</v>
      </c>
    </row>
    <row r="220" spans="1:27" s="1" customFormat="1" ht="18.5" x14ac:dyDescent="0.45">
      <c r="A220" s="1" t="s">
        <v>5924</v>
      </c>
      <c r="B220" s="1" t="s">
        <v>5925</v>
      </c>
      <c r="C220" s="1" t="s">
        <v>571</v>
      </c>
      <c r="D220" s="1" t="s">
        <v>53</v>
      </c>
      <c r="E220" s="2">
        <v>2023</v>
      </c>
      <c r="F220" s="1" t="s">
        <v>5926</v>
      </c>
      <c r="G220" s="1" t="s">
        <v>5927</v>
      </c>
      <c r="H220" s="1" t="s">
        <v>5928</v>
      </c>
      <c r="I220" s="1">
        <v>51</v>
      </c>
      <c r="J220" s="1">
        <v>4</v>
      </c>
      <c r="K220" s="1">
        <v>6</v>
      </c>
      <c r="L220" s="1">
        <v>32</v>
      </c>
      <c r="M220" s="1" t="s">
        <v>572</v>
      </c>
      <c r="N220" s="1" t="s">
        <v>573</v>
      </c>
      <c r="O220" s="1" t="s">
        <v>574</v>
      </c>
      <c r="P220" s="1" t="s">
        <v>575</v>
      </c>
      <c r="Q220" s="1" t="s">
        <v>576</v>
      </c>
      <c r="R220" s="1">
        <v>57</v>
      </c>
      <c r="S220" s="1">
        <v>2</v>
      </c>
      <c r="T220" s="1" t="s">
        <v>5929</v>
      </c>
      <c r="U220" s="1" t="str">
        <f>HYPERLINK("http://dx.doi.org/10.1051/ro/2023009","http://dx.doi.org/10.1051/ro/2023009")</f>
        <v>http://dx.doi.org/10.1051/ro/2023009</v>
      </c>
      <c r="V220" s="1">
        <v>25</v>
      </c>
      <c r="W220" s="1" t="s">
        <v>580</v>
      </c>
      <c r="X220" s="1" t="s">
        <v>67</v>
      </c>
      <c r="Y220" s="1" t="s">
        <v>580</v>
      </c>
      <c r="Z220" s="1" t="s">
        <v>48</v>
      </c>
      <c r="AA220" s="1" t="s">
        <v>581</v>
      </c>
    </row>
    <row r="221" spans="1:27" s="1" customFormat="1" ht="18.5" x14ac:dyDescent="0.45">
      <c r="A221" s="1" t="s">
        <v>5930</v>
      </c>
      <c r="B221" s="1" t="s">
        <v>5931</v>
      </c>
      <c r="C221" s="1" t="s">
        <v>538</v>
      </c>
      <c r="D221" s="1" t="s">
        <v>53</v>
      </c>
      <c r="E221" s="2">
        <v>2023</v>
      </c>
      <c r="F221" s="1" t="s">
        <v>5932</v>
      </c>
      <c r="G221" s="1" t="s">
        <v>4648</v>
      </c>
      <c r="H221" s="1" t="s">
        <v>5933</v>
      </c>
      <c r="I221" s="1">
        <v>52</v>
      </c>
      <c r="J221" s="1">
        <v>9</v>
      </c>
      <c r="K221" s="1">
        <v>7</v>
      </c>
      <c r="L221" s="1">
        <v>32</v>
      </c>
      <c r="M221" s="1" t="s">
        <v>503</v>
      </c>
      <c r="N221" s="1" t="s">
        <v>542</v>
      </c>
      <c r="O221" s="1" t="s">
        <v>543</v>
      </c>
      <c r="P221" s="1" t="s">
        <v>544</v>
      </c>
      <c r="Q221" s="1" t="s">
        <v>545</v>
      </c>
      <c r="R221" s="1">
        <v>56</v>
      </c>
      <c r="S221" s="1">
        <v>2</v>
      </c>
      <c r="T221" s="1" t="s">
        <v>5934</v>
      </c>
      <c r="U221" s="1" t="str">
        <f>HYPERLINK("http://dx.doi.org/10.1007/s10462-022-10190-9","http://dx.doi.org/10.1007/s10462-022-10190-9")</f>
        <v>http://dx.doi.org/10.1007/s10462-022-10190-9</v>
      </c>
      <c r="V221" s="1">
        <v>29</v>
      </c>
      <c r="W221" s="1" t="s">
        <v>549</v>
      </c>
      <c r="X221" s="1" t="s">
        <v>67</v>
      </c>
      <c r="Y221" s="1" t="s">
        <v>292</v>
      </c>
      <c r="Z221" s="1" t="s">
        <v>48</v>
      </c>
      <c r="AA221" s="1" t="s">
        <v>48</v>
      </c>
    </row>
    <row r="222" spans="1:27" s="1" customFormat="1" ht="18.5" x14ac:dyDescent="0.45">
      <c r="A222" s="1" t="s">
        <v>5988</v>
      </c>
      <c r="B222" s="1" t="s">
        <v>5989</v>
      </c>
      <c r="C222" s="1" t="s">
        <v>5990</v>
      </c>
      <c r="D222" s="1" t="s">
        <v>53</v>
      </c>
      <c r="E222" s="2">
        <v>2023</v>
      </c>
      <c r="F222" s="1" t="s">
        <v>5991</v>
      </c>
      <c r="G222" s="1" t="s">
        <v>5992</v>
      </c>
      <c r="H222" s="1" t="s">
        <v>5993</v>
      </c>
      <c r="I222" s="1">
        <v>58</v>
      </c>
      <c r="J222" s="1">
        <v>2</v>
      </c>
      <c r="K222" s="1">
        <v>0</v>
      </c>
      <c r="L222" s="1">
        <v>3</v>
      </c>
      <c r="M222" s="1" t="s">
        <v>5994</v>
      </c>
      <c r="N222" s="1" t="s">
        <v>5995</v>
      </c>
      <c r="O222" s="1" t="s">
        <v>5996</v>
      </c>
      <c r="P222" s="1" t="s">
        <v>5997</v>
      </c>
      <c r="Q222" s="1" t="s">
        <v>5998</v>
      </c>
      <c r="R222" s="1">
        <v>11</v>
      </c>
      <c r="S222" s="1" t="s">
        <v>48</v>
      </c>
      <c r="T222" s="1" t="s">
        <v>5999</v>
      </c>
      <c r="U222" s="1" t="str">
        <f>HYPERLINK("http://dx.doi.org/10.3897/BDJ.11.e98948","http://dx.doi.org/10.3897/BDJ.11.e98948")</f>
        <v>http://dx.doi.org/10.3897/BDJ.11.e98948</v>
      </c>
      <c r="V222" s="1">
        <v>32</v>
      </c>
      <c r="W222" s="1" t="s">
        <v>6000</v>
      </c>
      <c r="X222" s="1" t="s">
        <v>67</v>
      </c>
      <c r="Y222" s="1" t="s">
        <v>6001</v>
      </c>
      <c r="Z222" s="1">
        <v>38327378</v>
      </c>
      <c r="AA222" s="1" t="s">
        <v>337</v>
      </c>
    </row>
    <row r="223" spans="1:27" s="1" customFormat="1" ht="18.5" x14ac:dyDescent="0.45">
      <c r="A223" s="1" t="s">
        <v>6031</v>
      </c>
      <c r="B223" s="1" t="s">
        <v>6032</v>
      </c>
      <c r="C223" s="1" t="s">
        <v>296</v>
      </c>
      <c r="D223" s="1" t="s">
        <v>53</v>
      </c>
      <c r="E223" s="2">
        <v>2023</v>
      </c>
      <c r="F223" s="1" t="s">
        <v>6033</v>
      </c>
      <c r="G223" s="1" t="s">
        <v>5698</v>
      </c>
      <c r="H223" s="1" t="s">
        <v>227</v>
      </c>
      <c r="I223" s="1">
        <v>62</v>
      </c>
      <c r="J223" s="1">
        <v>31</v>
      </c>
      <c r="K223" s="1">
        <v>21</v>
      </c>
      <c r="L223" s="1">
        <v>134</v>
      </c>
      <c r="M223" s="1" t="s">
        <v>198</v>
      </c>
      <c r="N223" s="1" t="s">
        <v>146</v>
      </c>
      <c r="O223" s="1" t="s">
        <v>199</v>
      </c>
      <c r="P223" s="1" t="s">
        <v>299</v>
      </c>
      <c r="Q223" s="1" t="s">
        <v>300</v>
      </c>
      <c r="R223" s="1">
        <v>10</v>
      </c>
      <c r="S223" s="1">
        <v>1</v>
      </c>
      <c r="T223" s="1" t="s">
        <v>6034</v>
      </c>
      <c r="U223" s="1" t="str">
        <f>HYPERLINK("http://dx.doi.org/10.1080/23302674.2023.2242770","http://dx.doi.org/10.1080/23302674.2023.2242770")</f>
        <v>http://dx.doi.org/10.1080/23302674.2023.2242770</v>
      </c>
      <c r="V223" s="1">
        <v>25</v>
      </c>
      <c r="W223" s="1" t="s">
        <v>305</v>
      </c>
      <c r="X223" s="1" t="s">
        <v>67</v>
      </c>
      <c r="Y223" s="1" t="s">
        <v>306</v>
      </c>
      <c r="Z223" s="1" t="s">
        <v>48</v>
      </c>
      <c r="AA223" s="1" t="s">
        <v>48</v>
      </c>
    </row>
    <row r="224" spans="1:27" s="1" customFormat="1" ht="18.5" x14ac:dyDescent="0.45">
      <c r="A224" s="1" t="s">
        <v>6035</v>
      </c>
      <c r="B224" s="1" t="s">
        <v>6036</v>
      </c>
      <c r="C224" s="1" t="s">
        <v>6037</v>
      </c>
      <c r="D224" s="1" t="s">
        <v>53</v>
      </c>
      <c r="E224" s="2">
        <v>2023</v>
      </c>
      <c r="F224" s="1" t="s">
        <v>6038</v>
      </c>
      <c r="G224" s="1" t="s">
        <v>6039</v>
      </c>
      <c r="H224" s="1" t="s">
        <v>6040</v>
      </c>
      <c r="I224" s="1">
        <v>88</v>
      </c>
      <c r="J224" s="1">
        <v>8</v>
      </c>
      <c r="K224" s="1">
        <v>0</v>
      </c>
      <c r="L224" s="1">
        <v>0</v>
      </c>
      <c r="M224" s="1" t="s">
        <v>1141</v>
      </c>
      <c r="N224" s="1" t="s">
        <v>1142</v>
      </c>
      <c r="O224" s="1" t="s">
        <v>1143</v>
      </c>
      <c r="P224" s="1" t="s">
        <v>6041</v>
      </c>
      <c r="Q224" s="1" t="s">
        <v>6042</v>
      </c>
      <c r="R224" s="1">
        <v>31</v>
      </c>
      <c r="S224" s="1">
        <v>1</v>
      </c>
      <c r="T224" s="1" t="s">
        <v>6043</v>
      </c>
      <c r="U224" s="1" t="str">
        <f>HYPERLINK("http://dx.doi.org/10.4018/JGIM.332799","http://dx.doi.org/10.4018/JGIM.332799")</f>
        <v>http://dx.doi.org/10.4018/JGIM.332799</v>
      </c>
      <c r="V224" s="1">
        <v>24</v>
      </c>
      <c r="W224" s="1" t="s">
        <v>1158</v>
      </c>
      <c r="X224" s="1" t="s">
        <v>106</v>
      </c>
      <c r="Y224" s="1" t="s">
        <v>1158</v>
      </c>
      <c r="Z224" s="1" t="s">
        <v>48</v>
      </c>
      <c r="AA224" s="1" t="s">
        <v>125</v>
      </c>
    </row>
    <row r="225" spans="1:27" s="1" customFormat="1" ht="18.5" x14ac:dyDescent="0.45">
      <c r="A225" s="1" t="s">
        <v>6052</v>
      </c>
      <c r="B225" s="1" t="s">
        <v>6053</v>
      </c>
      <c r="C225" s="1" t="s">
        <v>6054</v>
      </c>
      <c r="D225" s="1" t="s">
        <v>53</v>
      </c>
      <c r="E225" s="2">
        <v>2023</v>
      </c>
      <c r="F225" s="1" t="s">
        <v>6055</v>
      </c>
      <c r="G225" s="1" t="s">
        <v>5823</v>
      </c>
      <c r="H225" s="1" t="s">
        <v>6056</v>
      </c>
      <c r="I225" s="1">
        <v>44</v>
      </c>
      <c r="J225" s="1">
        <v>14</v>
      </c>
      <c r="K225" s="1">
        <v>2</v>
      </c>
      <c r="L225" s="1">
        <v>15</v>
      </c>
      <c r="M225" s="1" t="s">
        <v>347</v>
      </c>
      <c r="N225" s="1" t="s">
        <v>348</v>
      </c>
      <c r="O225" s="1" t="s">
        <v>349</v>
      </c>
      <c r="P225" s="1" t="s">
        <v>6057</v>
      </c>
      <c r="Q225" s="1" t="s">
        <v>6058</v>
      </c>
      <c r="R225" s="1">
        <v>40</v>
      </c>
      <c r="S225" s="1">
        <v>3</v>
      </c>
      <c r="T225" s="1" t="s">
        <v>6059</v>
      </c>
      <c r="U225" s="1" t="str">
        <f>HYPERLINK("http://dx.doi.org/10.1111/exsy.13188","http://dx.doi.org/10.1111/exsy.13188")</f>
        <v>http://dx.doi.org/10.1111/exsy.13188</v>
      </c>
      <c r="V225" s="1">
        <v>26</v>
      </c>
      <c r="W225" s="1" t="s">
        <v>6060</v>
      </c>
      <c r="X225" s="1" t="s">
        <v>67</v>
      </c>
      <c r="Y225" s="1" t="s">
        <v>292</v>
      </c>
      <c r="Z225" s="1" t="s">
        <v>48</v>
      </c>
      <c r="AA225" s="1" t="s">
        <v>48</v>
      </c>
    </row>
    <row r="226" spans="1:27" s="1" customFormat="1" ht="18.5" x14ac:dyDescent="0.45">
      <c r="A226" s="1" t="s">
        <v>6097</v>
      </c>
      <c r="B226" s="1" t="s">
        <v>6098</v>
      </c>
      <c r="C226" s="1" t="s">
        <v>6099</v>
      </c>
      <c r="D226" s="1" t="s">
        <v>30</v>
      </c>
      <c r="E226" s="2">
        <v>2023</v>
      </c>
      <c r="F226" s="1" t="s">
        <v>6100</v>
      </c>
      <c r="G226" s="1" t="s">
        <v>6101</v>
      </c>
      <c r="H226" s="1" t="s">
        <v>48</v>
      </c>
      <c r="I226" s="1">
        <v>0</v>
      </c>
      <c r="J226" s="1">
        <v>0</v>
      </c>
      <c r="K226" s="1">
        <v>0</v>
      </c>
      <c r="L226" s="1">
        <v>0</v>
      </c>
      <c r="M226" s="1" t="s">
        <v>347</v>
      </c>
      <c r="N226" s="1" t="s">
        <v>348</v>
      </c>
      <c r="O226" s="1" t="s">
        <v>349</v>
      </c>
      <c r="P226" s="1" t="s">
        <v>6102</v>
      </c>
      <c r="Q226" s="1" t="s">
        <v>6103</v>
      </c>
      <c r="R226" s="1">
        <v>78</v>
      </c>
      <c r="S226" s="1" t="s">
        <v>48</v>
      </c>
      <c r="T226" s="1" t="s">
        <v>48</v>
      </c>
      <c r="U226" s="1" t="s">
        <v>48</v>
      </c>
      <c r="V226" s="1">
        <v>1</v>
      </c>
      <c r="W226" s="1" t="s">
        <v>6104</v>
      </c>
      <c r="X226" s="1" t="s">
        <v>1303</v>
      </c>
      <c r="Y226" s="1" t="s">
        <v>6104</v>
      </c>
      <c r="Z226" s="1" t="s">
        <v>48</v>
      </c>
      <c r="AA226" s="1" t="s">
        <v>48</v>
      </c>
    </row>
    <row r="227" spans="1:27" s="1" customFormat="1" ht="18.5" x14ac:dyDescent="0.45">
      <c r="A227" s="1" t="s">
        <v>6105</v>
      </c>
      <c r="B227" s="1" t="s">
        <v>6106</v>
      </c>
      <c r="C227" s="1" t="s">
        <v>129</v>
      </c>
      <c r="D227" s="1" t="s">
        <v>53</v>
      </c>
      <c r="E227" s="2">
        <v>2023</v>
      </c>
      <c r="F227" s="1" t="s">
        <v>6107</v>
      </c>
      <c r="G227" s="1" t="s">
        <v>6108</v>
      </c>
      <c r="H227" s="1" t="s">
        <v>4694</v>
      </c>
      <c r="I227" s="1">
        <v>22</v>
      </c>
      <c r="J227" s="1">
        <v>4</v>
      </c>
      <c r="K227" s="1">
        <v>0</v>
      </c>
      <c r="L227" s="1">
        <v>6</v>
      </c>
      <c r="M227" s="1" t="s">
        <v>132</v>
      </c>
      <c r="N227" s="1" t="s">
        <v>133</v>
      </c>
      <c r="O227" s="1" t="s">
        <v>134</v>
      </c>
      <c r="P227" s="1" t="s">
        <v>48</v>
      </c>
      <c r="Q227" s="1" t="s">
        <v>135</v>
      </c>
      <c r="R227" s="1">
        <v>11</v>
      </c>
      <c r="S227" s="1">
        <v>6</v>
      </c>
      <c r="T227" s="1" t="s">
        <v>6109</v>
      </c>
      <c r="U227" s="1" t="str">
        <f>HYPERLINK("http://dx.doi.org/10.3390/math11061398","http://dx.doi.org/10.3390/math11061398")</f>
        <v>http://dx.doi.org/10.3390/math11061398</v>
      </c>
      <c r="V227" s="1">
        <v>13</v>
      </c>
      <c r="W227" s="1" t="s">
        <v>137</v>
      </c>
      <c r="X227" s="1" t="s">
        <v>67</v>
      </c>
      <c r="Y227" s="1" t="s">
        <v>137</v>
      </c>
      <c r="Z227" s="1" t="s">
        <v>48</v>
      </c>
      <c r="AA227" s="1" t="s">
        <v>125</v>
      </c>
    </row>
    <row r="228" spans="1:27" s="1" customFormat="1" ht="18.5" x14ac:dyDescent="0.45">
      <c r="A228" s="1" t="s">
        <v>6110</v>
      </c>
      <c r="B228" s="1" t="s">
        <v>6111</v>
      </c>
      <c r="C228" s="1" t="s">
        <v>6112</v>
      </c>
      <c r="D228" s="1" t="s">
        <v>53</v>
      </c>
      <c r="E228" s="2">
        <v>2023</v>
      </c>
      <c r="F228" s="1" t="s">
        <v>6113</v>
      </c>
      <c r="G228" s="1" t="s">
        <v>6114</v>
      </c>
      <c r="H228" s="1" t="s">
        <v>6056</v>
      </c>
      <c r="I228" s="1">
        <v>40</v>
      </c>
      <c r="J228" s="1">
        <v>17</v>
      </c>
      <c r="K228" s="1">
        <v>10</v>
      </c>
      <c r="L228" s="1">
        <v>33</v>
      </c>
      <c r="M228" s="1" t="s">
        <v>79</v>
      </c>
      <c r="N228" s="1" t="s">
        <v>80</v>
      </c>
      <c r="O228" s="1" t="s">
        <v>81</v>
      </c>
      <c r="P228" s="1" t="s">
        <v>6115</v>
      </c>
      <c r="Q228" s="1" t="s">
        <v>6116</v>
      </c>
      <c r="R228" s="1">
        <v>280</v>
      </c>
      <c r="S228" s="1" t="s">
        <v>48</v>
      </c>
      <c r="T228" s="1" t="s">
        <v>6117</v>
      </c>
      <c r="U228" s="1" t="str">
        <f>HYPERLINK("http://dx.doi.org/10.1016/j.knosys.2023.111055","http://dx.doi.org/10.1016/j.knosys.2023.111055")</f>
        <v>http://dx.doi.org/10.1016/j.knosys.2023.111055</v>
      </c>
      <c r="V228" s="1">
        <v>12</v>
      </c>
      <c r="W228" s="1" t="s">
        <v>549</v>
      </c>
      <c r="X228" s="1" t="s">
        <v>67</v>
      </c>
      <c r="Y228" s="1" t="s">
        <v>292</v>
      </c>
      <c r="Z228" s="1" t="s">
        <v>48</v>
      </c>
      <c r="AA228" s="1" t="s">
        <v>48</v>
      </c>
    </row>
    <row r="229" spans="1:27" s="1" customFormat="1" ht="18.5" x14ac:dyDescent="0.45">
      <c r="A229" s="1" t="s">
        <v>6118</v>
      </c>
      <c r="B229" s="1" t="s">
        <v>6119</v>
      </c>
      <c r="C229" s="1" t="s">
        <v>4776</v>
      </c>
      <c r="D229" s="1" t="s">
        <v>53</v>
      </c>
      <c r="E229" s="2">
        <v>2023</v>
      </c>
      <c r="F229" s="1" t="s">
        <v>6120</v>
      </c>
      <c r="G229" s="1" t="s">
        <v>6121</v>
      </c>
      <c r="H229" s="1" t="s">
        <v>4189</v>
      </c>
      <c r="I229" s="1">
        <v>54</v>
      </c>
      <c r="J229" s="1">
        <v>56</v>
      </c>
      <c r="K229" s="1">
        <v>8</v>
      </c>
      <c r="L229" s="1">
        <v>24</v>
      </c>
      <c r="M229" s="1" t="s">
        <v>215</v>
      </c>
      <c r="N229" s="1" t="s">
        <v>158</v>
      </c>
      <c r="O229" s="1" t="s">
        <v>216</v>
      </c>
      <c r="P229" s="1" t="s">
        <v>4780</v>
      </c>
      <c r="Q229" s="1" t="s">
        <v>4781</v>
      </c>
      <c r="R229" s="1">
        <v>206</v>
      </c>
      <c r="S229" s="1" t="s">
        <v>48</v>
      </c>
      <c r="T229" s="1" t="s">
        <v>6122</v>
      </c>
      <c r="U229" s="1" t="str">
        <f>HYPERLINK("http://dx.doi.org/10.1016/j.renene.2023.02.060","http://dx.doi.org/10.1016/j.renene.2023.02.060")</f>
        <v>http://dx.doi.org/10.1016/j.renene.2023.02.060</v>
      </c>
      <c r="V229" s="1">
        <v>10</v>
      </c>
      <c r="W229" s="1" t="s">
        <v>4783</v>
      </c>
      <c r="X229" s="1" t="s">
        <v>67</v>
      </c>
      <c r="Y229" s="1" t="s">
        <v>4784</v>
      </c>
      <c r="Z229" s="1" t="s">
        <v>48</v>
      </c>
      <c r="AA229" s="1" t="s">
        <v>48</v>
      </c>
    </row>
    <row r="230" spans="1:27" s="1" customFormat="1" ht="18.5" x14ac:dyDescent="0.45">
      <c r="A230" s="1" t="s">
        <v>6123</v>
      </c>
      <c r="B230" s="1" t="s">
        <v>6124</v>
      </c>
      <c r="C230" s="1" t="s">
        <v>676</v>
      </c>
      <c r="D230" s="1" t="s">
        <v>53</v>
      </c>
      <c r="E230" s="2">
        <v>2023</v>
      </c>
      <c r="F230" s="1" t="s">
        <v>6125</v>
      </c>
      <c r="G230" s="1" t="s">
        <v>4648</v>
      </c>
      <c r="H230" s="1" t="s">
        <v>6126</v>
      </c>
      <c r="I230" s="1">
        <v>45</v>
      </c>
      <c r="J230" s="1">
        <v>11</v>
      </c>
      <c r="K230" s="1">
        <v>2</v>
      </c>
      <c r="L230" s="1">
        <v>21</v>
      </c>
      <c r="M230" s="1" t="s">
        <v>503</v>
      </c>
      <c r="N230" s="1" t="s">
        <v>542</v>
      </c>
      <c r="O230" s="1" t="s">
        <v>543</v>
      </c>
      <c r="P230" s="1" t="s">
        <v>678</v>
      </c>
      <c r="Q230" s="1" t="s">
        <v>679</v>
      </c>
      <c r="R230" s="1">
        <v>53</v>
      </c>
      <c r="S230" s="1">
        <v>13</v>
      </c>
      <c r="T230" s="1" t="s">
        <v>6127</v>
      </c>
      <c r="U230" s="1" t="str">
        <f>HYPERLINK("http://dx.doi.org/10.1007/s10489-022-04382-7","http://dx.doi.org/10.1007/s10489-022-04382-7")</f>
        <v>http://dx.doi.org/10.1007/s10489-022-04382-7</v>
      </c>
      <c r="V230" s="1">
        <v>15</v>
      </c>
      <c r="W230" s="1" t="s">
        <v>549</v>
      </c>
      <c r="X230" s="1" t="s">
        <v>67</v>
      </c>
      <c r="Y230" s="1" t="s">
        <v>292</v>
      </c>
      <c r="Z230" s="1" t="s">
        <v>48</v>
      </c>
      <c r="AA230" s="1" t="s">
        <v>48</v>
      </c>
    </row>
    <row r="231" spans="1:27" s="1" customFormat="1" ht="18.5" x14ac:dyDescent="0.45">
      <c r="A231" s="1" t="s">
        <v>6128</v>
      </c>
      <c r="B231" s="1" t="s">
        <v>6129</v>
      </c>
      <c r="C231" s="1" t="s">
        <v>72</v>
      </c>
      <c r="D231" s="1" t="s">
        <v>53</v>
      </c>
      <c r="E231" s="2">
        <v>2023</v>
      </c>
      <c r="F231" s="1" t="s">
        <v>6130</v>
      </c>
      <c r="G231" s="1" t="s">
        <v>4778</v>
      </c>
      <c r="H231" s="1" t="s">
        <v>6131</v>
      </c>
      <c r="I231" s="1">
        <v>53</v>
      </c>
      <c r="J231" s="1">
        <v>4</v>
      </c>
      <c r="K231" s="1">
        <v>6</v>
      </c>
      <c r="L231" s="1">
        <v>38</v>
      </c>
      <c r="M231" s="1" t="s">
        <v>79</v>
      </c>
      <c r="N231" s="1" t="s">
        <v>80</v>
      </c>
      <c r="O231" s="1" t="s">
        <v>81</v>
      </c>
      <c r="P231" s="1" t="s">
        <v>82</v>
      </c>
      <c r="Q231" s="1" t="s">
        <v>83</v>
      </c>
      <c r="R231" s="1">
        <v>253</v>
      </c>
      <c r="S231" s="1" t="s">
        <v>48</v>
      </c>
      <c r="T231" s="1" t="s">
        <v>6132</v>
      </c>
      <c r="U231" s="1" t="str">
        <f>HYPERLINK("http://dx.doi.org/10.1016/j.ijbiomac.2023.126469","http://dx.doi.org/10.1016/j.ijbiomac.2023.126469")</f>
        <v>http://dx.doi.org/10.1016/j.ijbiomac.2023.126469</v>
      </c>
      <c r="V231" s="1">
        <v>9</v>
      </c>
      <c r="W231" s="1" t="s">
        <v>88</v>
      </c>
      <c r="X231" s="1" t="s">
        <v>67</v>
      </c>
      <c r="Y231" s="1" t="s">
        <v>89</v>
      </c>
      <c r="Z231" s="1">
        <v>37625743</v>
      </c>
      <c r="AA231" s="1" t="s">
        <v>48</v>
      </c>
    </row>
    <row r="232" spans="1:27" s="1" customFormat="1" ht="18.5" x14ac:dyDescent="0.45">
      <c r="A232" s="1" t="s">
        <v>6133</v>
      </c>
      <c r="B232" s="1" t="s">
        <v>6134</v>
      </c>
      <c r="C232" s="1" t="s">
        <v>129</v>
      </c>
      <c r="D232" s="1" t="s">
        <v>53</v>
      </c>
      <c r="E232" s="2">
        <v>2023</v>
      </c>
      <c r="F232" s="1" t="s">
        <v>6135</v>
      </c>
      <c r="G232" s="1" t="s">
        <v>6136</v>
      </c>
      <c r="H232" s="1" t="s">
        <v>3564</v>
      </c>
      <c r="I232" s="1">
        <v>32</v>
      </c>
      <c r="J232" s="1">
        <v>3</v>
      </c>
      <c r="K232" s="1">
        <v>0</v>
      </c>
      <c r="L232" s="1">
        <v>0</v>
      </c>
      <c r="M232" s="1" t="s">
        <v>132</v>
      </c>
      <c r="N232" s="1" t="s">
        <v>133</v>
      </c>
      <c r="O232" s="1" t="s">
        <v>134</v>
      </c>
      <c r="P232" s="1" t="s">
        <v>48</v>
      </c>
      <c r="Q232" s="1" t="s">
        <v>135</v>
      </c>
      <c r="R232" s="1">
        <v>11</v>
      </c>
      <c r="S232" s="1">
        <v>6</v>
      </c>
      <c r="T232" s="1" t="s">
        <v>6137</v>
      </c>
      <c r="U232" s="1" t="str">
        <f>HYPERLINK("http://dx.doi.org/10.3390/math11061309","http://dx.doi.org/10.3390/math11061309")</f>
        <v>http://dx.doi.org/10.3390/math11061309</v>
      </c>
      <c r="V232" s="1">
        <v>11</v>
      </c>
      <c r="W232" s="1" t="s">
        <v>137</v>
      </c>
      <c r="X232" s="1" t="s">
        <v>67</v>
      </c>
      <c r="Y232" s="1" t="s">
        <v>137</v>
      </c>
      <c r="Z232" s="1" t="s">
        <v>48</v>
      </c>
      <c r="AA232" s="1" t="s">
        <v>125</v>
      </c>
    </row>
    <row r="233" spans="1:27" s="1" customFormat="1" ht="18.5" x14ac:dyDescent="0.45">
      <c r="A233" s="1" t="s">
        <v>6151</v>
      </c>
      <c r="B233" s="1" t="s">
        <v>6152</v>
      </c>
      <c r="C233" s="1" t="s">
        <v>4893</v>
      </c>
      <c r="D233" s="1" t="s">
        <v>53</v>
      </c>
      <c r="E233" s="2">
        <v>2023</v>
      </c>
      <c r="F233" s="1" t="s">
        <v>6153</v>
      </c>
      <c r="G233" s="1" t="s">
        <v>6154</v>
      </c>
      <c r="H233" s="1" t="s">
        <v>6155</v>
      </c>
      <c r="I233" s="1">
        <v>54</v>
      </c>
      <c r="J233" s="1">
        <v>33</v>
      </c>
      <c r="K233" s="1">
        <v>5</v>
      </c>
      <c r="L233" s="1">
        <v>18</v>
      </c>
      <c r="M233" s="1" t="s">
        <v>60</v>
      </c>
      <c r="N233" s="1" t="s">
        <v>61</v>
      </c>
      <c r="O233" s="1" t="s">
        <v>62</v>
      </c>
      <c r="P233" s="1" t="s">
        <v>4895</v>
      </c>
      <c r="Q233" s="1" t="s">
        <v>4896</v>
      </c>
      <c r="R233" s="1">
        <v>57</v>
      </c>
      <c r="S233" s="1" t="s">
        <v>48</v>
      </c>
      <c r="T233" s="1" t="s">
        <v>6156</v>
      </c>
      <c r="U233" s="1" t="str">
        <f>HYPERLINK("http://dx.doi.org/10.1016/j.aei.2023.102081","http://dx.doi.org/10.1016/j.aei.2023.102081")</f>
        <v>http://dx.doi.org/10.1016/j.aei.2023.102081</v>
      </c>
      <c r="V233" s="1">
        <v>22</v>
      </c>
      <c r="W233" s="1" t="s">
        <v>4898</v>
      </c>
      <c r="X233" s="1" t="s">
        <v>67</v>
      </c>
      <c r="Y233" s="1" t="s">
        <v>389</v>
      </c>
      <c r="Z233" s="1" t="s">
        <v>48</v>
      </c>
      <c r="AA233" s="1" t="s">
        <v>48</v>
      </c>
    </row>
    <row r="234" spans="1:27" s="1" customFormat="1" ht="18.5" x14ac:dyDescent="0.45">
      <c r="A234" s="1" t="s">
        <v>6167</v>
      </c>
      <c r="B234" s="1" t="s">
        <v>6168</v>
      </c>
      <c r="C234" s="1" t="s">
        <v>6169</v>
      </c>
      <c r="D234" s="1" t="s">
        <v>53</v>
      </c>
      <c r="E234" s="2">
        <v>2023</v>
      </c>
      <c r="F234" s="1" t="s">
        <v>6170</v>
      </c>
      <c r="G234" s="1" t="s">
        <v>6171</v>
      </c>
      <c r="H234" s="1" t="s">
        <v>5966</v>
      </c>
      <c r="I234" s="1">
        <v>128</v>
      </c>
      <c r="J234" s="1">
        <v>7</v>
      </c>
      <c r="K234" s="1">
        <v>3</v>
      </c>
      <c r="L234" s="1">
        <v>35</v>
      </c>
      <c r="M234" s="1" t="s">
        <v>79</v>
      </c>
      <c r="N234" s="1" t="s">
        <v>80</v>
      </c>
      <c r="O234" s="1" t="s">
        <v>81</v>
      </c>
      <c r="P234" s="1" t="s">
        <v>6172</v>
      </c>
      <c r="Q234" s="1" t="s">
        <v>6173</v>
      </c>
      <c r="R234" s="1">
        <v>624</v>
      </c>
      <c r="S234" s="1" t="s">
        <v>48</v>
      </c>
      <c r="T234" s="1" t="s">
        <v>6174</v>
      </c>
      <c r="U234" s="1" t="str">
        <f>HYPERLINK("http://dx.doi.org/10.1016/j.jhydrol.2023.129885","http://dx.doi.org/10.1016/j.jhydrol.2023.129885")</f>
        <v>http://dx.doi.org/10.1016/j.jhydrol.2023.129885</v>
      </c>
      <c r="V234" s="1">
        <v>15</v>
      </c>
      <c r="W234" s="1" t="s">
        <v>6175</v>
      </c>
      <c r="X234" s="1" t="s">
        <v>67</v>
      </c>
      <c r="Y234" s="1" t="s">
        <v>6176</v>
      </c>
      <c r="Z234" s="1" t="s">
        <v>48</v>
      </c>
      <c r="AA234" s="1" t="s">
        <v>550</v>
      </c>
    </row>
    <row r="235" spans="1:27" s="1" customFormat="1" ht="18.5" x14ac:dyDescent="0.45">
      <c r="A235" s="1" t="s">
        <v>6177</v>
      </c>
      <c r="B235" s="1" t="s">
        <v>6178</v>
      </c>
      <c r="C235" s="1" t="s">
        <v>6179</v>
      </c>
      <c r="D235" s="1" t="s">
        <v>53</v>
      </c>
      <c r="E235" s="2">
        <v>2023</v>
      </c>
      <c r="F235" s="1" t="s">
        <v>6180</v>
      </c>
      <c r="G235" s="1" t="s">
        <v>58</v>
      </c>
      <c r="H235" s="1" t="s">
        <v>6181</v>
      </c>
      <c r="I235" s="1">
        <v>39</v>
      </c>
      <c r="J235" s="1">
        <v>0</v>
      </c>
      <c r="K235" s="1">
        <v>1</v>
      </c>
      <c r="L235" s="1">
        <v>3</v>
      </c>
      <c r="M235" s="1" t="s">
        <v>748</v>
      </c>
      <c r="N235" s="1" t="s">
        <v>749</v>
      </c>
      <c r="O235" s="1" t="s">
        <v>750</v>
      </c>
      <c r="P235" s="1" t="s">
        <v>6182</v>
      </c>
      <c r="Q235" s="1" t="s">
        <v>6183</v>
      </c>
      <c r="R235" s="1">
        <v>31</v>
      </c>
      <c r="S235" s="1">
        <v>6</v>
      </c>
      <c r="T235" s="1" t="s">
        <v>6186</v>
      </c>
      <c r="U235" s="1" t="str">
        <f>HYPERLINK("http://dx.doi.org/10.1142/S0218488523500447","http://dx.doi.org/10.1142/S0218488523500447")</f>
        <v>http://dx.doi.org/10.1142/S0218488523500447</v>
      </c>
      <c r="V235" s="1">
        <v>29</v>
      </c>
      <c r="W235" s="1" t="s">
        <v>549</v>
      </c>
      <c r="X235" s="1" t="s">
        <v>67</v>
      </c>
      <c r="Y235" s="1" t="s">
        <v>292</v>
      </c>
      <c r="Z235" s="1" t="s">
        <v>48</v>
      </c>
      <c r="AA235" s="1" t="s">
        <v>48</v>
      </c>
    </row>
    <row r="236" spans="1:27" s="1" customFormat="1" ht="18.5" x14ac:dyDescent="0.45">
      <c r="A236" s="1" t="s">
        <v>6187</v>
      </c>
      <c r="B236" s="1" t="s">
        <v>6188</v>
      </c>
      <c r="C236" s="1" t="s">
        <v>129</v>
      </c>
      <c r="D236" s="1" t="s">
        <v>53</v>
      </c>
      <c r="E236" s="2">
        <v>2023</v>
      </c>
      <c r="F236" s="1" t="s">
        <v>6189</v>
      </c>
      <c r="G236" s="1" t="s">
        <v>6190</v>
      </c>
      <c r="H236" s="1" t="s">
        <v>3564</v>
      </c>
      <c r="I236" s="1">
        <v>21</v>
      </c>
      <c r="J236" s="1">
        <v>5</v>
      </c>
      <c r="K236" s="1">
        <v>0</v>
      </c>
      <c r="L236" s="1">
        <v>0</v>
      </c>
      <c r="M236" s="1" t="s">
        <v>132</v>
      </c>
      <c r="N236" s="1" t="s">
        <v>133</v>
      </c>
      <c r="O236" s="1" t="s">
        <v>134</v>
      </c>
      <c r="P236" s="1" t="s">
        <v>48</v>
      </c>
      <c r="Q236" s="1" t="s">
        <v>135</v>
      </c>
      <c r="R236" s="1">
        <v>11</v>
      </c>
      <c r="S236" s="1">
        <v>4</v>
      </c>
      <c r="T236" s="1" t="s">
        <v>6191</v>
      </c>
      <c r="U236" s="1" t="str">
        <f>HYPERLINK("http://dx.doi.org/10.3390/math11040893","http://dx.doi.org/10.3390/math11040893")</f>
        <v>http://dx.doi.org/10.3390/math11040893</v>
      </c>
      <c r="V236" s="1">
        <v>13</v>
      </c>
      <c r="W236" s="1" t="s">
        <v>137</v>
      </c>
      <c r="X236" s="1" t="s">
        <v>67</v>
      </c>
      <c r="Y236" s="1" t="s">
        <v>137</v>
      </c>
      <c r="Z236" s="1" t="s">
        <v>48</v>
      </c>
      <c r="AA236" s="1" t="s">
        <v>125</v>
      </c>
    </row>
    <row r="237" spans="1:27" s="1" customFormat="1" ht="18.5" x14ac:dyDescent="0.45">
      <c r="A237" s="1" t="s">
        <v>6289</v>
      </c>
      <c r="B237" s="1" t="s">
        <v>6290</v>
      </c>
      <c r="C237" s="1" t="s">
        <v>379</v>
      </c>
      <c r="D237" s="1" t="s">
        <v>53</v>
      </c>
      <c r="E237" s="2">
        <v>2023</v>
      </c>
      <c r="F237" s="1" t="s">
        <v>6291</v>
      </c>
      <c r="G237" s="1" t="s">
        <v>6292</v>
      </c>
      <c r="H237" s="1" t="s">
        <v>6293</v>
      </c>
      <c r="I237" s="1">
        <v>56</v>
      </c>
      <c r="J237" s="1">
        <v>3</v>
      </c>
      <c r="K237" s="1">
        <v>1</v>
      </c>
      <c r="L237" s="1">
        <v>7</v>
      </c>
      <c r="M237" s="1" t="s">
        <v>215</v>
      </c>
      <c r="N237" s="1" t="s">
        <v>158</v>
      </c>
      <c r="O237" s="1" t="s">
        <v>216</v>
      </c>
      <c r="P237" s="1" t="s">
        <v>382</v>
      </c>
      <c r="Q237" s="1" t="s">
        <v>383</v>
      </c>
      <c r="R237" s="1">
        <v>186</v>
      </c>
      <c r="S237" s="1" t="s">
        <v>48</v>
      </c>
      <c r="T237" s="1" t="s">
        <v>6294</v>
      </c>
      <c r="U237" s="1" t="str">
        <f>HYPERLINK("http://dx.doi.org/10.1016/j.cie.2023.109710","http://dx.doi.org/10.1016/j.cie.2023.109710")</f>
        <v>http://dx.doi.org/10.1016/j.cie.2023.109710</v>
      </c>
      <c r="V237" s="1">
        <v>23</v>
      </c>
      <c r="W237" s="1" t="s">
        <v>388</v>
      </c>
      <c r="X237" s="1" t="s">
        <v>67</v>
      </c>
      <c r="Y237" s="1" t="s">
        <v>389</v>
      </c>
      <c r="Z237" s="1" t="s">
        <v>48</v>
      </c>
      <c r="AA237" s="1" t="s">
        <v>48</v>
      </c>
    </row>
    <row r="238" spans="1:27" s="1" customFormat="1" ht="18.5" x14ac:dyDescent="0.45">
      <c r="A238" s="1" t="s">
        <v>6338</v>
      </c>
      <c r="B238" s="1" t="s">
        <v>6339</v>
      </c>
      <c r="C238" s="1" t="s">
        <v>1018</v>
      </c>
      <c r="D238" s="1" t="s">
        <v>111</v>
      </c>
      <c r="E238" s="2">
        <v>2023</v>
      </c>
      <c r="F238" s="1" t="s">
        <v>6340</v>
      </c>
      <c r="G238" s="1" t="s">
        <v>6341</v>
      </c>
      <c r="H238" s="1" t="s">
        <v>6342</v>
      </c>
      <c r="I238" s="1">
        <v>91</v>
      </c>
      <c r="J238" s="1">
        <v>3</v>
      </c>
      <c r="K238" s="1">
        <v>2</v>
      </c>
      <c r="L238" s="1">
        <v>14</v>
      </c>
      <c r="M238" s="1" t="s">
        <v>252</v>
      </c>
      <c r="N238" s="1" t="s">
        <v>253</v>
      </c>
      <c r="O238" s="1" t="s">
        <v>254</v>
      </c>
      <c r="P238" s="1" t="s">
        <v>1024</v>
      </c>
      <c r="Q238" s="1" t="s">
        <v>1025</v>
      </c>
      <c r="R238" s="1" t="s">
        <v>48</v>
      </c>
      <c r="S238" s="1" t="s">
        <v>48</v>
      </c>
      <c r="T238" s="1" t="s">
        <v>6343</v>
      </c>
      <c r="U238" s="1" t="str">
        <f>HYPERLINK("http://dx.doi.org/10.1007/s11356-023-27547-4","http://dx.doi.org/10.1007/s11356-023-27547-4")</f>
        <v>http://dx.doi.org/10.1007/s11356-023-27547-4</v>
      </c>
      <c r="V238" s="1">
        <v>14</v>
      </c>
      <c r="W238" s="1" t="s">
        <v>438</v>
      </c>
      <c r="X238" s="1" t="s">
        <v>67</v>
      </c>
      <c r="Y238" s="1" t="s">
        <v>439</v>
      </c>
      <c r="Z238" s="1">
        <v>37402047</v>
      </c>
      <c r="AA238" s="1" t="s">
        <v>48</v>
      </c>
    </row>
    <row r="239" spans="1:27" s="1" customFormat="1" ht="18.5" x14ac:dyDescent="0.45">
      <c r="A239" s="1" t="s">
        <v>6344</v>
      </c>
      <c r="B239" s="1" t="s">
        <v>6345</v>
      </c>
      <c r="C239" s="1" t="s">
        <v>6346</v>
      </c>
      <c r="D239" s="1" t="s">
        <v>53</v>
      </c>
      <c r="E239" s="2">
        <v>2023</v>
      </c>
      <c r="F239" s="1" t="s">
        <v>6347</v>
      </c>
      <c r="G239" s="1" t="s">
        <v>6348</v>
      </c>
      <c r="H239" s="1" t="s">
        <v>6349</v>
      </c>
      <c r="I239" s="1">
        <v>27</v>
      </c>
      <c r="J239" s="1">
        <v>0</v>
      </c>
      <c r="K239" s="1">
        <v>0</v>
      </c>
      <c r="L239" s="1">
        <v>0</v>
      </c>
      <c r="M239" s="1" t="s">
        <v>6350</v>
      </c>
      <c r="N239" s="1" t="s">
        <v>6351</v>
      </c>
      <c r="O239" s="1" t="s">
        <v>6352</v>
      </c>
      <c r="P239" s="1" t="s">
        <v>6353</v>
      </c>
      <c r="Q239" s="1" t="s">
        <v>6354</v>
      </c>
      <c r="R239" s="1">
        <v>31</v>
      </c>
      <c r="S239" s="1">
        <v>2</v>
      </c>
      <c r="T239" s="1" t="s">
        <v>6355</v>
      </c>
      <c r="U239" s="1" t="str">
        <f>HYPERLINK("http://dx.doi.org/10.2478/auom-2023-0024","http://dx.doi.org/10.2478/auom-2023-0024")</f>
        <v>http://dx.doi.org/10.2478/auom-2023-0024</v>
      </c>
      <c r="V239" s="1">
        <v>14</v>
      </c>
      <c r="W239" s="1" t="s">
        <v>1041</v>
      </c>
      <c r="X239" s="1" t="s">
        <v>67</v>
      </c>
      <c r="Y239" s="1" t="s">
        <v>137</v>
      </c>
      <c r="Z239" s="1" t="s">
        <v>48</v>
      </c>
      <c r="AA239" s="1" t="s">
        <v>125</v>
      </c>
    </row>
    <row r="240" spans="1:27" s="1" customFormat="1" ht="18.5" x14ac:dyDescent="0.45">
      <c r="A240" s="1" t="s">
        <v>6365</v>
      </c>
      <c r="B240" s="1" t="s">
        <v>6366</v>
      </c>
      <c r="C240" s="1" t="s">
        <v>72</v>
      </c>
      <c r="D240" s="1" t="s">
        <v>53</v>
      </c>
      <c r="E240" s="2">
        <v>2023</v>
      </c>
      <c r="F240" s="1" t="s">
        <v>6367</v>
      </c>
      <c r="G240" s="1" t="s">
        <v>6368</v>
      </c>
      <c r="H240" s="1" t="s">
        <v>6369</v>
      </c>
      <c r="I240" s="1">
        <v>66</v>
      </c>
      <c r="J240" s="1">
        <v>5</v>
      </c>
      <c r="K240" s="1">
        <v>5</v>
      </c>
      <c r="L240" s="1">
        <v>12</v>
      </c>
      <c r="M240" s="1" t="s">
        <v>79</v>
      </c>
      <c r="N240" s="1" t="s">
        <v>80</v>
      </c>
      <c r="O240" s="1" t="s">
        <v>81</v>
      </c>
      <c r="P240" s="1" t="s">
        <v>82</v>
      </c>
      <c r="Q240" s="1" t="s">
        <v>83</v>
      </c>
      <c r="R240" s="1">
        <v>245</v>
      </c>
      <c r="S240" s="1" t="s">
        <v>48</v>
      </c>
      <c r="T240" s="1" t="s">
        <v>6370</v>
      </c>
      <c r="U240" s="1" t="str">
        <f>HYPERLINK("http://dx.doi.org/10.1016/j.ijbiomac.2023.125416","http://dx.doi.org/10.1016/j.ijbiomac.2023.125416")</f>
        <v>http://dx.doi.org/10.1016/j.ijbiomac.2023.125416</v>
      </c>
      <c r="V240" s="1">
        <v>18</v>
      </c>
      <c r="W240" s="1" t="s">
        <v>88</v>
      </c>
      <c r="X240" s="1" t="s">
        <v>67</v>
      </c>
      <c r="Y240" s="1" t="s">
        <v>89</v>
      </c>
      <c r="Z240" s="1">
        <v>37336373</v>
      </c>
      <c r="AA240" s="1" t="s">
        <v>48</v>
      </c>
    </row>
    <row r="241" spans="1:27" s="1" customFormat="1" ht="18.5" x14ac:dyDescent="0.45">
      <c r="A241" s="1" t="s">
        <v>6371</v>
      </c>
      <c r="B241" s="1" t="s">
        <v>6372</v>
      </c>
      <c r="C241" s="1" t="s">
        <v>1891</v>
      </c>
      <c r="D241" s="1" t="s">
        <v>53</v>
      </c>
      <c r="E241" s="2">
        <v>2023</v>
      </c>
      <c r="F241" s="1" t="s">
        <v>6373</v>
      </c>
      <c r="G241" s="1" t="s">
        <v>4648</v>
      </c>
      <c r="H241" s="1" t="s">
        <v>6374</v>
      </c>
      <c r="I241" s="1">
        <v>55</v>
      </c>
      <c r="J241" s="1">
        <v>41</v>
      </c>
      <c r="K241" s="1">
        <v>4</v>
      </c>
      <c r="L241" s="1">
        <v>13</v>
      </c>
      <c r="M241" s="1" t="s">
        <v>79</v>
      </c>
      <c r="N241" s="1" t="s">
        <v>80</v>
      </c>
      <c r="O241" s="1" t="s">
        <v>81</v>
      </c>
      <c r="P241" s="1" t="s">
        <v>1892</v>
      </c>
      <c r="Q241" s="1" t="s">
        <v>48</v>
      </c>
      <c r="R241" s="1">
        <v>29</v>
      </c>
      <c r="S241" s="1" t="s">
        <v>48</v>
      </c>
      <c r="T241" s="1" t="s">
        <v>6375</v>
      </c>
      <c r="U241" s="1" t="str">
        <f>HYPERLINK("http://dx.doi.org/10.1016/j.rsase.2022.100917","http://dx.doi.org/10.1016/j.rsase.2022.100917")</f>
        <v>http://dx.doi.org/10.1016/j.rsase.2022.100917</v>
      </c>
      <c r="V241" s="1">
        <v>15</v>
      </c>
      <c r="W241" s="1" t="s">
        <v>1896</v>
      </c>
      <c r="X241" s="1" t="s">
        <v>124</v>
      </c>
      <c r="Y241" s="1" t="s">
        <v>1897</v>
      </c>
      <c r="Z241" s="1" t="s">
        <v>48</v>
      </c>
      <c r="AA241" s="1" t="s">
        <v>48</v>
      </c>
    </row>
    <row r="242" spans="1:27" s="1" customFormat="1" ht="18.5" x14ac:dyDescent="0.45">
      <c r="A242" s="1" t="s">
        <v>6416</v>
      </c>
      <c r="B242" s="1" t="s">
        <v>6417</v>
      </c>
      <c r="C242" s="1" t="s">
        <v>2954</v>
      </c>
      <c r="D242" s="1" t="s">
        <v>53</v>
      </c>
      <c r="E242" s="2">
        <v>2023</v>
      </c>
      <c r="F242" s="1" t="s">
        <v>6418</v>
      </c>
      <c r="G242" s="1" t="s">
        <v>6419</v>
      </c>
      <c r="H242" s="1" t="s">
        <v>6420</v>
      </c>
      <c r="I242" s="1">
        <v>62</v>
      </c>
      <c r="J242" s="1">
        <v>8</v>
      </c>
      <c r="K242" s="1">
        <v>2</v>
      </c>
      <c r="L242" s="1">
        <v>8</v>
      </c>
      <c r="M242" s="1" t="s">
        <v>252</v>
      </c>
      <c r="N242" s="1" t="s">
        <v>253</v>
      </c>
      <c r="O242" s="1" t="s">
        <v>254</v>
      </c>
      <c r="P242" s="1" t="s">
        <v>2957</v>
      </c>
      <c r="Q242" s="1" t="s">
        <v>48</v>
      </c>
      <c r="R242" s="1">
        <v>138</v>
      </c>
      <c r="S242" s="1">
        <v>7</v>
      </c>
      <c r="T242" s="1" t="s">
        <v>6421</v>
      </c>
      <c r="U242" s="1" t="str">
        <f>HYPERLINK("http://dx.doi.org/10.1140/epjp/s13360-023-04244-2","http://dx.doi.org/10.1140/epjp/s13360-023-04244-2")</f>
        <v>http://dx.doi.org/10.1140/epjp/s13360-023-04244-2</v>
      </c>
      <c r="V242" s="1">
        <v>11</v>
      </c>
      <c r="W242" s="1" t="s">
        <v>669</v>
      </c>
      <c r="X242" s="1" t="s">
        <v>67</v>
      </c>
      <c r="Y242" s="1" t="s">
        <v>670</v>
      </c>
      <c r="Z242" s="1" t="s">
        <v>48</v>
      </c>
      <c r="AA242" s="1" t="s">
        <v>48</v>
      </c>
    </row>
    <row r="243" spans="1:27" s="1" customFormat="1" ht="18.5" x14ac:dyDescent="0.45">
      <c r="A243" s="1" t="s">
        <v>6434</v>
      </c>
      <c r="B243" s="1" t="s">
        <v>6435</v>
      </c>
      <c r="C243" s="1" t="s">
        <v>1741</v>
      </c>
      <c r="D243" s="1" t="s">
        <v>53</v>
      </c>
      <c r="E243" s="2">
        <v>2023</v>
      </c>
      <c r="F243" s="1" t="s">
        <v>6436</v>
      </c>
      <c r="G243" s="1" t="s">
        <v>6437</v>
      </c>
      <c r="H243" s="1" t="s">
        <v>1379</v>
      </c>
      <c r="I243" s="1">
        <v>46</v>
      </c>
      <c r="J243" s="1">
        <v>31</v>
      </c>
      <c r="K243" s="1">
        <v>4</v>
      </c>
      <c r="L243" s="1">
        <v>15</v>
      </c>
      <c r="M243" s="1" t="s">
        <v>79</v>
      </c>
      <c r="N243" s="1" t="s">
        <v>80</v>
      </c>
      <c r="O243" s="1" t="s">
        <v>81</v>
      </c>
      <c r="P243" s="1" t="s">
        <v>1743</v>
      </c>
      <c r="Q243" s="1" t="s">
        <v>1744</v>
      </c>
      <c r="R243" s="1">
        <v>145</v>
      </c>
      <c r="S243" s="1" t="s">
        <v>48</v>
      </c>
      <c r="T243" s="1" t="s">
        <v>6438</v>
      </c>
      <c r="U243" s="1" t="str">
        <f>HYPERLINK("http://dx.doi.org/10.1016/j.asoc.2023.110614","http://dx.doi.org/10.1016/j.asoc.2023.110614")</f>
        <v>http://dx.doi.org/10.1016/j.asoc.2023.110614</v>
      </c>
      <c r="V243" s="1">
        <v>20</v>
      </c>
      <c r="W243" s="1" t="s">
        <v>1746</v>
      </c>
      <c r="X243" s="1" t="s">
        <v>67</v>
      </c>
      <c r="Y243" s="1" t="s">
        <v>292</v>
      </c>
      <c r="Z243" s="1" t="s">
        <v>48</v>
      </c>
      <c r="AA243" s="1" t="s">
        <v>48</v>
      </c>
    </row>
    <row r="244" spans="1:27" s="1" customFormat="1" ht="18.5" x14ac:dyDescent="0.45">
      <c r="A244" s="1" t="s">
        <v>6505</v>
      </c>
      <c r="B244" s="1" t="s">
        <v>6506</v>
      </c>
      <c r="C244" s="1" t="s">
        <v>571</v>
      </c>
      <c r="D244" s="1" t="s">
        <v>53</v>
      </c>
      <c r="E244" s="2">
        <v>2023</v>
      </c>
      <c r="F244" s="1" t="s">
        <v>6507</v>
      </c>
      <c r="G244" s="1" t="s">
        <v>6508</v>
      </c>
      <c r="H244" s="1" t="s">
        <v>1379</v>
      </c>
      <c r="I244" s="1">
        <v>62</v>
      </c>
      <c r="J244" s="1">
        <v>6</v>
      </c>
      <c r="K244" s="1">
        <v>1</v>
      </c>
      <c r="L244" s="1">
        <v>4</v>
      </c>
      <c r="M244" s="1" t="s">
        <v>572</v>
      </c>
      <c r="N244" s="1" t="s">
        <v>573</v>
      </c>
      <c r="O244" s="1" t="s">
        <v>574</v>
      </c>
      <c r="P244" s="1" t="s">
        <v>575</v>
      </c>
      <c r="Q244" s="1" t="s">
        <v>576</v>
      </c>
      <c r="R244" s="1">
        <v>57</v>
      </c>
      <c r="S244" s="1">
        <v>3</v>
      </c>
      <c r="T244" s="1" t="s">
        <v>6509</v>
      </c>
      <c r="U244" s="1" t="str">
        <f>HYPERLINK("http://dx.doi.org/10.1051/ro/2023033","http://dx.doi.org/10.1051/ro/2023033")</f>
        <v>http://dx.doi.org/10.1051/ro/2023033</v>
      </c>
      <c r="V244" s="1">
        <v>27</v>
      </c>
      <c r="W244" s="1" t="s">
        <v>580</v>
      </c>
      <c r="X244" s="1" t="s">
        <v>67</v>
      </c>
      <c r="Y244" s="1" t="s">
        <v>580</v>
      </c>
      <c r="Z244" s="1" t="s">
        <v>48</v>
      </c>
      <c r="AA244" s="1" t="s">
        <v>1696</v>
      </c>
    </row>
    <row r="245" spans="1:27" s="1" customFormat="1" ht="18.5" x14ac:dyDescent="0.45">
      <c r="A245" s="1" t="s">
        <v>6510</v>
      </c>
      <c r="B245" s="1" t="s">
        <v>6511</v>
      </c>
      <c r="C245" s="1" t="s">
        <v>3213</v>
      </c>
      <c r="D245" s="1" t="s">
        <v>53</v>
      </c>
      <c r="E245" s="2">
        <v>2023</v>
      </c>
      <c r="F245" s="1" t="s">
        <v>6512</v>
      </c>
      <c r="G245" s="1" t="s">
        <v>6513</v>
      </c>
      <c r="H245" s="1" t="s">
        <v>3616</v>
      </c>
      <c r="I245" s="1">
        <v>118</v>
      </c>
      <c r="J245" s="1">
        <v>3</v>
      </c>
      <c r="K245" s="1">
        <v>3</v>
      </c>
      <c r="L245" s="1">
        <v>18</v>
      </c>
      <c r="M245" s="1" t="s">
        <v>503</v>
      </c>
      <c r="N245" s="1" t="s">
        <v>542</v>
      </c>
      <c r="O245" s="1" t="s">
        <v>543</v>
      </c>
      <c r="P245" s="1" t="s">
        <v>3218</v>
      </c>
      <c r="Q245" s="1" t="s">
        <v>3219</v>
      </c>
      <c r="R245" s="1">
        <v>39</v>
      </c>
      <c r="S245" s="1">
        <v>7</v>
      </c>
      <c r="T245" s="1" t="s">
        <v>6514</v>
      </c>
      <c r="U245" s="1" t="str">
        <f>HYPERLINK("http://dx.doi.org/10.1007/s11274-023-03631-2","http://dx.doi.org/10.1007/s11274-023-03631-2")</f>
        <v>http://dx.doi.org/10.1007/s11274-023-03631-2</v>
      </c>
      <c r="V245" s="1">
        <v>21</v>
      </c>
      <c r="W245" s="1" t="s">
        <v>1528</v>
      </c>
      <c r="X245" s="1" t="s">
        <v>67</v>
      </c>
      <c r="Y245" s="1" t="s">
        <v>1528</v>
      </c>
      <c r="Z245" s="1">
        <v>37133792</v>
      </c>
      <c r="AA245" s="1" t="s">
        <v>48</v>
      </c>
    </row>
    <row r="246" spans="1:27" s="1" customFormat="1" ht="18.5" x14ac:dyDescent="0.45">
      <c r="A246" s="1" t="s">
        <v>6565</v>
      </c>
      <c r="B246" s="1" t="s">
        <v>6566</v>
      </c>
      <c r="C246" s="1" t="s">
        <v>6567</v>
      </c>
      <c r="D246" s="1" t="s">
        <v>53</v>
      </c>
      <c r="E246" s="2">
        <v>2023</v>
      </c>
      <c r="F246" s="1" t="s">
        <v>6568</v>
      </c>
      <c r="G246" s="1" t="s">
        <v>6569</v>
      </c>
      <c r="H246" s="1" t="s">
        <v>6570</v>
      </c>
      <c r="I246" s="1">
        <v>84</v>
      </c>
      <c r="J246" s="1">
        <v>9</v>
      </c>
      <c r="K246" s="1">
        <v>6</v>
      </c>
      <c r="L246" s="1">
        <v>14</v>
      </c>
      <c r="M246" s="1" t="s">
        <v>266</v>
      </c>
      <c r="N246" s="1" t="s">
        <v>267</v>
      </c>
      <c r="O246" s="1" t="s">
        <v>268</v>
      </c>
      <c r="P246" s="1" t="s">
        <v>6571</v>
      </c>
      <c r="Q246" s="1" t="s">
        <v>6572</v>
      </c>
      <c r="R246" s="1">
        <v>234</v>
      </c>
      <c r="S246" s="1" t="s">
        <v>48</v>
      </c>
      <c r="T246" s="1" t="s">
        <v>6575</v>
      </c>
      <c r="U246" s="1" t="str">
        <f>HYPERLINK("http://dx.doi.org/10.1016/j.envres.2023.116547","http://dx.doi.org/10.1016/j.envres.2023.116547")</f>
        <v>http://dx.doi.org/10.1016/j.envres.2023.116547</v>
      </c>
      <c r="V246" s="1">
        <v>13</v>
      </c>
      <c r="W246" s="1" t="s">
        <v>6576</v>
      </c>
      <c r="X246" s="1" t="s">
        <v>67</v>
      </c>
      <c r="Y246" s="1" t="s">
        <v>6577</v>
      </c>
      <c r="Z246" s="1">
        <v>37422118</v>
      </c>
      <c r="AA246" s="1" t="s">
        <v>48</v>
      </c>
    </row>
    <row r="247" spans="1:27" s="1" customFormat="1" ht="18.5" x14ac:dyDescent="0.45">
      <c r="A247" s="1" t="s">
        <v>6578</v>
      </c>
      <c r="B247" s="1" t="s">
        <v>6579</v>
      </c>
      <c r="C247" s="1" t="s">
        <v>6580</v>
      </c>
      <c r="D247" s="1" t="s">
        <v>53</v>
      </c>
      <c r="E247" s="2">
        <v>2023</v>
      </c>
      <c r="F247" s="1" t="s">
        <v>6581</v>
      </c>
      <c r="G247" s="1" t="s">
        <v>6582</v>
      </c>
      <c r="H247" s="1" t="s">
        <v>6583</v>
      </c>
      <c r="I247" s="1">
        <v>43</v>
      </c>
      <c r="J247" s="1">
        <v>3</v>
      </c>
      <c r="K247" s="1">
        <v>0</v>
      </c>
      <c r="L247" s="1">
        <v>0</v>
      </c>
      <c r="M247" s="1" t="s">
        <v>60</v>
      </c>
      <c r="N247" s="1" t="s">
        <v>158</v>
      </c>
      <c r="O247" s="1" t="s">
        <v>159</v>
      </c>
      <c r="P247" s="1" t="s">
        <v>6584</v>
      </c>
      <c r="Q247" s="1" t="s">
        <v>48</v>
      </c>
      <c r="R247" s="1">
        <v>22</v>
      </c>
      <c r="S247" s="1" t="s">
        <v>48</v>
      </c>
      <c r="T247" s="1" t="s">
        <v>6585</v>
      </c>
      <c r="U247" s="1" t="str">
        <f>HYPERLINK("http://dx.doi.org/10.1016/j.ijpddr.2023.05.003","http://dx.doi.org/10.1016/j.ijpddr.2023.05.003")</f>
        <v>http://dx.doi.org/10.1016/j.ijpddr.2023.05.003</v>
      </c>
      <c r="V247" s="1">
        <v>9</v>
      </c>
      <c r="W247" s="1" t="s">
        <v>6586</v>
      </c>
      <c r="X247" s="1" t="s">
        <v>67</v>
      </c>
      <c r="Y247" s="1" t="s">
        <v>6586</v>
      </c>
      <c r="Z247" s="1">
        <v>37269630</v>
      </c>
      <c r="AA247" s="1" t="s">
        <v>366</v>
      </c>
    </row>
    <row r="248" spans="1:27" s="1" customFormat="1" ht="18.5" x14ac:dyDescent="0.45">
      <c r="A248" s="1" t="s">
        <v>6613</v>
      </c>
      <c r="B248" s="1" t="s">
        <v>6614</v>
      </c>
      <c r="C248" s="1" t="s">
        <v>1018</v>
      </c>
      <c r="D248" s="1" t="s">
        <v>53</v>
      </c>
      <c r="E248" s="2">
        <v>2023</v>
      </c>
      <c r="F248" s="1" t="s">
        <v>6615</v>
      </c>
      <c r="G248" s="1" t="s">
        <v>6616</v>
      </c>
      <c r="H248" s="1" t="s">
        <v>6617</v>
      </c>
      <c r="I248" s="1">
        <v>82</v>
      </c>
      <c r="J248" s="1">
        <v>7</v>
      </c>
      <c r="K248" s="1">
        <v>1</v>
      </c>
      <c r="L248" s="1">
        <v>17</v>
      </c>
      <c r="M248" s="1" t="s">
        <v>252</v>
      </c>
      <c r="N248" s="1" t="s">
        <v>253</v>
      </c>
      <c r="O248" s="1" t="s">
        <v>254</v>
      </c>
      <c r="P248" s="1" t="s">
        <v>1024</v>
      </c>
      <c r="Q248" s="1" t="s">
        <v>1025</v>
      </c>
      <c r="R248" s="1">
        <v>30</v>
      </c>
      <c r="S248" s="1">
        <v>16</v>
      </c>
      <c r="T248" s="1" t="s">
        <v>6618</v>
      </c>
      <c r="U248" s="1" t="str">
        <f>HYPERLINK("http://dx.doi.org/10.1007/s11356-023-25413-x","http://dx.doi.org/10.1007/s11356-023-25413-x")</f>
        <v>http://dx.doi.org/10.1007/s11356-023-25413-x</v>
      </c>
      <c r="V248" s="1">
        <v>19</v>
      </c>
      <c r="W248" s="1" t="s">
        <v>438</v>
      </c>
      <c r="X248" s="1" t="s">
        <v>67</v>
      </c>
      <c r="Y248" s="1" t="s">
        <v>439</v>
      </c>
      <c r="Z248" s="1">
        <v>36708470</v>
      </c>
      <c r="AA248" s="1" t="s">
        <v>48</v>
      </c>
    </row>
    <row r="249" spans="1:27" s="1" customFormat="1" ht="18.5" x14ac:dyDescent="0.45">
      <c r="A249" s="1" t="s">
        <v>5102</v>
      </c>
      <c r="B249" s="1" t="s">
        <v>6619</v>
      </c>
      <c r="C249" s="1" t="s">
        <v>1741</v>
      </c>
      <c r="D249" s="1" t="s">
        <v>53</v>
      </c>
      <c r="E249" s="2">
        <v>2023</v>
      </c>
      <c r="F249" s="1" t="s">
        <v>6620</v>
      </c>
      <c r="G249" s="1" t="s">
        <v>6621</v>
      </c>
      <c r="H249" s="1" t="s">
        <v>131</v>
      </c>
      <c r="I249" s="1">
        <v>81</v>
      </c>
      <c r="J249" s="1">
        <v>4</v>
      </c>
      <c r="K249" s="1">
        <v>7</v>
      </c>
      <c r="L249" s="1">
        <v>19</v>
      </c>
      <c r="M249" s="1" t="s">
        <v>79</v>
      </c>
      <c r="N249" s="1" t="s">
        <v>80</v>
      </c>
      <c r="O249" s="1" t="s">
        <v>81</v>
      </c>
      <c r="P249" s="1" t="s">
        <v>1743</v>
      </c>
      <c r="Q249" s="1" t="s">
        <v>1744</v>
      </c>
      <c r="R249" s="1">
        <v>148</v>
      </c>
      <c r="S249" s="1" t="s">
        <v>48</v>
      </c>
      <c r="T249" s="1" t="s">
        <v>6622</v>
      </c>
      <c r="U249" s="1" t="str">
        <f>HYPERLINK("http://dx.doi.org/10.1016/j.asoc.2023.110898","http://dx.doi.org/10.1016/j.asoc.2023.110898")</f>
        <v>http://dx.doi.org/10.1016/j.asoc.2023.110898</v>
      </c>
      <c r="V249" s="1">
        <v>18</v>
      </c>
      <c r="W249" s="1" t="s">
        <v>1746</v>
      </c>
      <c r="X249" s="1" t="s">
        <v>67</v>
      </c>
      <c r="Y249" s="1" t="s">
        <v>292</v>
      </c>
      <c r="Z249" s="1" t="s">
        <v>48</v>
      </c>
      <c r="AA249" s="1" t="s">
        <v>48</v>
      </c>
    </row>
    <row r="250" spans="1:27" s="1" customFormat="1" ht="18.5" x14ac:dyDescent="0.45">
      <c r="A250" s="1" t="s">
        <v>6633</v>
      </c>
      <c r="B250" s="1" t="s">
        <v>6634</v>
      </c>
      <c r="C250" s="1" t="s">
        <v>1520</v>
      </c>
      <c r="D250" s="1" t="s">
        <v>53</v>
      </c>
      <c r="E250" s="2">
        <v>2023</v>
      </c>
      <c r="F250" s="1" t="s">
        <v>6635</v>
      </c>
      <c r="G250" s="1" t="s">
        <v>6636</v>
      </c>
      <c r="H250" s="1" t="s">
        <v>6637</v>
      </c>
      <c r="I250" s="1">
        <v>46</v>
      </c>
      <c r="J250" s="1">
        <v>1</v>
      </c>
      <c r="K250" s="1">
        <v>1</v>
      </c>
      <c r="L250" s="1">
        <v>2</v>
      </c>
      <c r="M250" s="1" t="s">
        <v>1523</v>
      </c>
      <c r="N250" s="1" t="s">
        <v>632</v>
      </c>
      <c r="O250" s="1" t="s">
        <v>1524</v>
      </c>
      <c r="P250" s="1" t="s">
        <v>1525</v>
      </c>
      <c r="Q250" s="1" t="s">
        <v>1526</v>
      </c>
      <c r="R250" s="1">
        <v>3</v>
      </c>
      <c r="S250" s="1">
        <v>4</v>
      </c>
      <c r="T250" s="1" t="s">
        <v>6638</v>
      </c>
      <c r="U250" s="1" t="str">
        <f>HYPERLINK("http://dx.doi.org/10.1007/s43393-022-00146-z","http://dx.doi.org/10.1007/s43393-022-00146-z")</f>
        <v>http://dx.doi.org/10.1007/s43393-022-00146-z</v>
      </c>
      <c r="V250" s="1">
        <v>15</v>
      </c>
      <c r="W250" s="1" t="s">
        <v>1528</v>
      </c>
      <c r="X250" s="1" t="s">
        <v>124</v>
      </c>
      <c r="Y250" s="1" t="s">
        <v>1528</v>
      </c>
      <c r="Z250" s="1" t="s">
        <v>48</v>
      </c>
      <c r="AA250" s="1" t="s">
        <v>48</v>
      </c>
    </row>
    <row r="251" spans="1:27" s="1" customFormat="1" ht="18.5" x14ac:dyDescent="0.45">
      <c r="A251" s="1" t="s">
        <v>6672</v>
      </c>
      <c r="B251" s="1" t="s">
        <v>6673</v>
      </c>
      <c r="C251" s="1" t="s">
        <v>6674</v>
      </c>
      <c r="D251" s="1" t="s">
        <v>53</v>
      </c>
      <c r="E251" s="2">
        <v>2023</v>
      </c>
      <c r="F251" s="1" t="s">
        <v>6675</v>
      </c>
      <c r="G251" s="1" t="s">
        <v>6676</v>
      </c>
      <c r="H251" s="1" t="s">
        <v>5285</v>
      </c>
      <c r="I251" s="1">
        <v>29</v>
      </c>
      <c r="J251" s="1">
        <v>5</v>
      </c>
      <c r="K251" s="1">
        <v>0</v>
      </c>
      <c r="L251" s="1">
        <v>8</v>
      </c>
      <c r="M251" s="1" t="s">
        <v>252</v>
      </c>
      <c r="N251" s="1" t="s">
        <v>253</v>
      </c>
      <c r="O251" s="1" t="s">
        <v>254</v>
      </c>
      <c r="P251" s="1" t="s">
        <v>6677</v>
      </c>
      <c r="Q251" s="1" t="s">
        <v>6678</v>
      </c>
      <c r="R251" s="1">
        <v>129</v>
      </c>
      <c r="S251" s="1">
        <v>2</v>
      </c>
      <c r="T251" s="1" t="s">
        <v>6681</v>
      </c>
      <c r="U251" s="1" t="str">
        <f>HYPERLINK("http://dx.doi.org/10.1007/s00339-022-06373-4","http://dx.doi.org/10.1007/s00339-022-06373-4")</f>
        <v>http://dx.doi.org/10.1007/s00339-022-06373-4</v>
      </c>
      <c r="V251" s="1">
        <v>9</v>
      </c>
      <c r="W251" s="1" t="s">
        <v>2821</v>
      </c>
      <c r="X251" s="1" t="s">
        <v>67</v>
      </c>
      <c r="Y251" s="1" t="s">
        <v>2822</v>
      </c>
      <c r="Z251" s="1" t="s">
        <v>48</v>
      </c>
      <c r="AA251" s="1" t="s">
        <v>48</v>
      </c>
    </row>
    <row r="252" spans="1:27" s="1" customFormat="1" ht="18.5" x14ac:dyDescent="0.45">
      <c r="A252" s="1" t="s">
        <v>6711</v>
      </c>
      <c r="B252" s="1" t="s">
        <v>6712</v>
      </c>
      <c r="C252" s="1" t="s">
        <v>4698</v>
      </c>
      <c r="D252" s="1" t="s">
        <v>53</v>
      </c>
      <c r="E252" s="2">
        <v>2023</v>
      </c>
      <c r="F252" s="1" t="s">
        <v>6713</v>
      </c>
      <c r="G252" s="1" t="s">
        <v>6714</v>
      </c>
      <c r="H252" s="1" t="s">
        <v>6715</v>
      </c>
      <c r="I252" s="1">
        <v>78</v>
      </c>
      <c r="J252" s="1">
        <v>2</v>
      </c>
      <c r="K252" s="1">
        <v>0</v>
      </c>
      <c r="L252" s="1">
        <v>2</v>
      </c>
      <c r="M252" s="1" t="s">
        <v>79</v>
      </c>
      <c r="N252" s="1" t="s">
        <v>80</v>
      </c>
      <c r="O252" s="1" t="s">
        <v>81</v>
      </c>
      <c r="P252" s="1" t="s">
        <v>4701</v>
      </c>
      <c r="Q252" s="1" t="s">
        <v>4702</v>
      </c>
      <c r="R252" s="1">
        <v>1293</v>
      </c>
      <c r="S252" s="1" t="s">
        <v>48</v>
      </c>
      <c r="T252" s="1" t="s">
        <v>6716</v>
      </c>
      <c r="U252" s="1" t="str">
        <f>HYPERLINK("http://dx.doi.org/10.1016/j.molstruc.2023.136291","http://dx.doi.org/10.1016/j.molstruc.2023.136291")</f>
        <v>http://dx.doi.org/10.1016/j.molstruc.2023.136291</v>
      </c>
      <c r="V252" s="1">
        <v>11</v>
      </c>
      <c r="W252" s="1" t="s">
        <v>2899</v>
      </c>
      <c r="X252" s="1" t="s">
        <v>67</v>
      </c>
      <c r="Y252" s="1" t="s">
        <v>2293</v>
      </c>
      <c r="Z252" s="1" t="s">
        <v>48</v>
      </c>
      <c r="AA252" s="1" t="s">
        <v>48</v>
      </c>
    </row>
    <row r="253" spans="1:27" s="1" customFormat="1" ht="18.5" x14ac:dyDescent="0.45">
      <c r="A253" s="1" t="s">
        <v>6749</v>
      </c>
      <c r="B253" s="1" t="s">
        <v>6750</v>
      </c>
      <c r="C253" s="1" t="s">
        <v>6751</v>
      </c>
      <c r="D253" s="1" t="s">
        <v>53</v>
      </c>
      <c r="E253" s="2">
        <v>2023</v>
      </c>
      <c r="F253" s="1" t="s">
        <v>6752</v>
      </c>
      <c r="G253" s="1" t="s">
        <v>6753</v>
      </c>
      <c r="H253" s="1" t="s">
        <v>6754</v>
      </c>
      <c r="I253" s="1">
        <v>48</v>
      </c>
      <c r="J253" s="1">
        <v>0</v>
      </c>
      <c r="K253" s="1">
        <v>0</v>
      </c>
      <c r="L253" s="1">
        <v>0</v>
      </c>
      <c r="M253" s="1" t="s">
        <v>6755</v>
      </c>
      <c r="N253" s="1" t="s">
        <v>6756</v>
      </c>
      <c r="O253" s="1" t="s">
        <v>6757</v>
      </c>
      <c r="P253" s="1" t="s">
        <v>6758</v>
      </c>
      <c r="Q253" s="1" t="s">
        <v>6759</v>
      </c>
      <c r="R253" s="1">
        <v>44</v>
      </c>
      <c r="S253" s="1">
        <v>5</v>
      </c>
      <c r="T253" s="1" t="s">
        <v>6760</v>
      </c>
      <c r="U253" s="1" t="str">
        <f>HYPERLINK("http://dx.doi.org/10.22438/jeb/44/5/MRN-5075","http://dx.doi.org/10.22438/jeb/44/5/MRN-5075")</f>
        <v>http://dx.doi.org/10.22438/jeb/44/5/MRN-5075</v>
      </c>
      <c r="V253" s="1">
        <v>12</v>
      </c>
      <c r="W253" s="1" t="s">
        <v>438</v>
      </c>
      <c r="X253" s="1" t="s">
        <v>124</v>
      </c>
      <c r="Y253" s="1" t="s">
        <v>439</v>
      </c>
      <c r="Z253" s="1" t="s">
        <v>48</v>
      </c>
      <c r="AA253" s="1" t="s">
        <v>550</v>
      </c>
    </row>
    <row r="254" spans="1:27" s="1" customFormat="1" ht="18.5" x14ac:dyDescent="0.45">
      <c r="A254" s="1" t="s">
        <v>6789</v>
      </c>
      <c r="B254" s="1" t="s">
        <v>6790</v>
      </c>
      <c r="C254" s="1" t="s">
        <v>4553</v>
      </c>
      <c r="D254" s="1" t="s">
        <v>53</v>
      </c>
      <c r="E254" s="2">
        <v>2023</v>
      </c>
      <c r="F254" s="1" t="s">
        <v>6791</v>
      </c>
      <c r="G254" s="1" t="s">
        <v>6792</v>
      </c>
      <c r="H254" s="1" t="s">
        <v>3564</v>
      </c>
      <c r="I254" s="1">
        <v>35</v>
      </c>
      <c r="J254" s="1">
        <v>3</v>
      </c>
      <c r="K254" s="1">
        <v>0</v>
      </c>
      <c r="L254" s="1">
        <v>3</v>
      </c>
      <c r="M254" s="1" t="s">
        <v>347</v>
      </c>
      <c r="N254" s="1" t="s">
        <v>348</v>
      </c>
      <c r="O254" s="1" t="s">
        <v>349</v>
      </c>
      <c r="P254" s="1" t="s">
        <v>4557</v>
      </c>
      <c r="Q254" s="1" t="s">
        <v>4558</v>
      </c>
      <c r="R254" s="1">
        <v>2023</v>
      </c>
      <c r="S254" s="1" t="s">
        <v>48</v>
      </c>
      <c r="T254" s="1" t="s">
        <v>6793</v>
      </c>
      <c r="U254" s="1" t="str">
        <f>HYPERLINK("http://dx.doi.org/10.1155/2023/5269421","http://dx.doi.org/10.1155/2023/5269421")</f>
        <v>http://dx.doi.org/10.1155/2023/5269421</v>
      </c>
      <c r="V254" s="1">
        <v>27</v>
      </c>
      <c r="W254" s="1" t="s">
        <v>137</v>
      </c>
      <c r="X254" s="1" t="s">
        <v>67</v>
      </c>
      <c r="Y254" s="1" t="s">
        <v>137</v>
      </c>
      <c r="Z254" s="1" t="s">
        <v>48</v>
      </c>
      <c r="AA254" s="1" t="s">
        <v>5156</v>
      </c>
    </row>
    <row r="255" spans="1:27" s="1" customFormat="1" ht="18.5" x14ac:dyDescent="0.45">
      <c r="A255" s="1" t="s">
        <v>6794</v>
      </c>
      <c r="B255" s="1" t="s">
        <v>6795</v>
      </c>
      <c r="C255" s="1" t="s">
        <v>6796</v>
      </c>
      <c r="D255" s="1" t="s">
        <v>53</v>
      </c>
      <c r="E255" s="2">
        <v>2023</v>
      </c>
      <c r="F255" s="1" t="s">
        <v>6797</v>
      </c>
      <c r="G255" s="1" t="s">
        <v>4852</v>
      </c>
      <c r="H255" s="1" t="s">
        <v>6798</v>
      </c>
      <c r="I255" s="1">
        <v>109</v>
      </c>
      <c r="J255" s="1">
        <v>11</v>
      </c>
      <c r="K255" s="1">
        <v>2</v>
      </c>
      <c r="L255" s="1">
        <v>22</v>
      </c>
      <c r="M255" s="1" t="s">
        <v>266</v>
      </c>
      <c r="N255" s="1" t="s">
        <v>267</v>
      </c>
      <c r="O255" s="1" t="s">
        <v>268</v>
      </c>
      <c r="P255" s="1" t="s">
        <v>6799</v>
      </c>
      <c r="Q255" s="1" t="s">
        <v>6800</v>
      </c>
      <c r="R255" s="1">
        <v>138</v>
      </c>
      <c r="S255" s="1" t="s">
        <v>48</v>
      </c>
      <c r="T255" s="1" t="s">
        <v>6801</v>
      </c>
      <c r="U255" s="1" t="str">
        <f>HYPERLINK("http://dx.doi.org/10.1016/j.bioorg.2023.106532","http://dx.doi.org/10.1016/j.bioorg.2023.106532")</f>
        <v>http://dx.doi.org/10.1016/j.bioorg.2023.106532</v>
      </c>
      <c r="V255" s="1">
        <v>17</v>
      </c>
      <c r="W255" s="1" t="s">
        <v>6802</v>
      </c>
      <c r="X255" s="1" t="s">
        <v>67</v>
      </c>
      <c r="Y255" s="1" t="s">
        <v>842</v>
      </c>
      <c r="Z255" s="1">
        <v>37172438</v>
      </c>
      <c r="AA255" s="1" t="s">
        <v>48</v>
      </c>
    </row>
    <row r="256" spans="1:27" s="1" customFormat="1" ht="18.5" x14ac:dyDescent="0.45">
      <c r="A256" s="1" t="s">
        <v>6875</v>
      </c>
      <c r="B256" s="1" t="s">
        <v>6876</v>
      </c>
      <c r="C256" s="1" t="s">
        <v>1812</v>
      </c>
      <c r="D256" s="1" t="s">
        <v>53</v>
      </c>
      <c r="E256" s="2">
        <v>2023</v>
      </c>
      <c r="F256" s="1" t="s">
        <v>6877</v>
      </c>
      <c r="G256" s="1" t="s">
        <v>6878</v>
      </c>
      <c r="H256" s="1" t="s">
        <v>6879</v>
      </c>
      <c r="I256" s="1">
        <v>55</v>
      </c>
      <c r="J256" s="1">
        <v>4</v>
      </c>
      <c r="K256" s="1">
        <v>2</v>
      </c>
      <c r="L256" s="1">
        <v>8</v>
      </c>
      <c r="M256" s="1" t="s">
        <v>503</v>
      </c>
      <c r="N256" s="1" t="s">
        <v>504</v>
      </c>
      <c r="O256" s="1" t="s">
        <v>505</v>
      </c>
      <c r="P256" s="1" t="s">
        <v>1814</v>
      </c>
      <c r="Q256" s="1" t="s">
        <v>1815</v>
      </c>
      <c r="R256" s="1">
        <v>27</v>
      </c>
      <c r="S256" s="1">
        <v>24</v>
      </c>
      <c r="T256" s="1" t="s">
        <v>6880</v>
      </c>
      <c r="U256" s="1" t="str">
        <f>HYPERLINK("http://dx.doi.org/10.1007/s00500-023-09139-z","http://dx.doi.org/10.1007/s00500-023-09139-z")</f>
        <v>http://dx.doi.org/10.1007/s00500-023-09139-z</v>
      </c>
      <c r="V256" s="1">
        <v>26</v>
      </c>
      <c r="W256" s="1" t="s">
        <v>1746</v>
      </c>
      <c r="X256" s="1" t="s">
        <v>67</v>
      </c>
      <c r="Y256" s="1" t="s">
        <v>292</v>
      </c>
      <c r="Z256" s="1" t="s">
        <v>48</v>
      </c>
      <c r="AA256" s="1" t="s">
        <v>48</v>
      </c>
    </row>
    <row r="257" spans="1:27" s="1" customFormat="1" ht="18.5" x14ac:dyDescent="0.45">
      <c r="A257" s="1" t="s">
        <v>6881</v>
      </c>
      <c r="B257" s="1" t="s">
        <v>6882</v>
      </c>
      <c r="C257" s="1" t="s">
        <v>4296</v>
      </c>
      <c r="D257" s="1" t="s">
        <v>111</v>
      </c>
      <c r="E257" s="2">
        <v>2023</v>
      </c>
      <c r="F257" s="1" t="s">
        <v>6883</v>
      </c>
      <c r="G257" s="1" t="s">
        <v>6884</v>
      </c>
      <c r="H257" s="1" t="s">
        <v>5408</v>
      </c>
      <c r="I257" s="1">
        <v>62</v>
      </c>
      <c r="J257" s="1">
        <v>6</v>
      </c>
      <c r="K257" s="1">
        <v>3</v>
      </c>
      <c r="L257" s="1">
        <v>11</v>
      </c>
      <c r="M257" s="1" t="s">
        <v>4299</v>
      </c>
      <c r="N257" s="1" t="s">
        <v>632</v>
      </c>
      <c r="O257" s="1" t="s">
        <v>4300</v>
      </c>
      <c r="P257" s="1" t="s">
        <v>4301</v>
      </c>
      <c r="Q257" s="1" t="s">
        <v>4302</v>
      </c>
      <c r="R257" s="1" t="s">
        <v>48</v>
      </c>
      <c r="S257" s="1" t="s">
        <v>48</v>
      </c>
      <c r="T257" s="1" t="s">
        <v>6885</v>
      </c>
      <c r="U257" s="1" t="str">
        <f>HYPERLINK("http://dx.doi.org/10.1007/s00521-023-08860-y","http://dx.doi.org/10.1007/s00521-023-08860-y")</f>
        <v>http://dx.doi.org/10.1007/s00521-023-08860-y</v>
      </c>
      <c r="V257" s="1">
        <v>19</v>
      </c>
      <c r="W257" s="1" t="s">
        <v>549</v>
      </c>
      <c r="X257" s="1" t="s">
        <v>67</v>
      </c>
      <c r="Y257" s="1" t="s">
        <v>292</v>
      </c>
      <c r="Z257" s="1" t="s">
        <v>48</v>
      </c>
      <c r="AA257" s="1" t="s">
        <v>48</v>
      </c>
    </row>
    <row r="258" spans="1:27" s="1" customFormat="1" ht="18.5" x14ac:dyDescent="0.45">
      <c r="A258" s="1" t="s">
        <v>6875</v>
      </c>
      <c r="B258" s="1" t="s">
        <v>6906</v>
      </c>
      <c r="C258" s="1" t="s">
        <v>2013</v>
      </c>
      <c r="D258" s="1" t="s">
        <v>53</v>
      </c>
      <c r="E258" s="2">
        <v>2023</v>
      </c>
      <c r="F258" s="1" t="s">
        <v>6907</v>
      </c>
      <c r="G258" s="1" t="s">
        <v>6878</v>
      </c>
      <c r="H258" s="1" t="s">
        <v>6908</v>
      </c>
      <c r="I258" s="1">
        <v>59</v>
      </c>
      <c r="J258" s="1">
        <v>6</v>
      </c>
      <c r="K258" s="1">
        <v>0</v>
      </c>
      <c r="L258" s="1">
        <v>7</v>
      </c>
      <c r="M258" s="1" t="s">
        <v>252</v>
      </c>
      <c r="N258" s="1" t="s">
        <v>253</v>
      </c>
      <c r="O258" s="1" t="s">
        <v>254</v>
      </c>
      <c r="P258" s="1" t="s">
        <v>2014</v>
      </c>
      <c r="Q258" s="1" t="s">
        <v>2015</v>
      </c>
      <c r="R258" s="1">
        <v>14</v>
      </c>
      <c r="S258" s="1">
        <v>1</v>
      </c>
      <c r="T258" s="1" t="s">
        <v>6909</v>
      </c>
      <c r="U258" s="1" t="str">
        <f>HYPERLINK("http://dx.doi.org/10.1007/s13042-021-01457-8","http://dx.doi.org/10.1007/s13042-021-01457-8")</f>
        <v>http://dx.doi.org/10.1007/s13042-021-01457-8</v>
      </c>
      <c r="V258" s="1">
        <v>29</v>
      </c>
      <c r="W258" s="1" t="s">
        <v>549</v>
      </c>
      <c r="X258" s="1" t="s">
        <v>67</v>
      </c>
      <c r="Y258" s="1" t="s">
        <v>292</v>
      </c>
      <c r="Z258" s="1" t="s">
        <v>48</v>
      </c>
      <c r="AA258" s="1" t="s">
        <v>48</v>
      </c>
    </row>
    <row r="259" spans="1:27" s="1" customFormat="1" ht="18.5" x14ac:dyDescent="0.45">
      <c r="A259" s="1" t="s">
        <v>6958</v>
      </c>
      <c r="B259" s="1" t="s">
        <v>6959</v>
      </c>
      <c r="C259" s="1" t="s">
        <v>538</v>
      </c>
      <c r="D259" s="1" t="s">
        <v>53</v>
      </c>
      <c r="E259" s="2">
        <v>2023</v>
      </c>
      <c r="F259" s="1" t="s">
        <v>6960</v>
      </c>
      <c r="G259" s="1" t="s">
        <v>6961</v>
      </c>
      <c r="H259" s="1" t="s">
        <v>1379</v>
      </c>
      <c r="I259" s="1">
        <v>65</v>
      </c>
      <c r="J259" s="1">
        <v>16</v>
      </c>
      <c r="K259" s="1">
        <v>8</v>
      </c>
      <c r="L259" s="1">
        <v>35</v>
      </c>
      <c r="M259" s="1" t="s">
        <v>503</v>
      </c>
      <c r="N259" s="1" t="s">
        <v>542</v>
      </c>
      <c r="O259" s="1" t="s">
        <v>543</v>
      </c>
      <c r="P259" s="1" t="s">
        <v>544</v>
      </c>
      <c r="Q259" s="1" t="s">
        <v>545</v>
      </c>
      <c r="R259" s="1">
        <v>56</v>
      </c>
      <c r="S259" s="1" t="s">
        <v>6962</v>
      </c>
      <c r="T259" s="1" t="s">
        <v>6963</v>
      </c>
      <c r="U259" s="1" t="str">
        <f>HYPERLINK("http://dx.doi.org/10.1007/s10462-023-10578-1","http://dx.doi.org/10.1007/s10462-023-10578-1")</f>
        <v>http://dx.doi.org/10.1007/s10462-023-10578-1</v>
      </c>
      <c r="V259" s="1">
        <v>38</v>
      </c>
      <c r="W259" s="1" t="s">
        <v>549</v>
      </c>
      <c r="X259" s="1" t="s">
        <v>67</v>
      </c>
      <c r="Y259" s="1" t="s">
        <v>292</v>
      </c>
      <c r="Z259" s="1" t="s">
        <v>48</v>
      </c>
      <c r="AA259" s="1" t="s">
        <v>48</v>
      </c>
    </row>
    <row r="260" spans="1:27" s="1" customFormat="1" ht="18.5" x14ac:dyDescent="0.45">
      <c r="A260" s="1" t="s">
        <v>6987</v>
      </c>
      <c r="B260" s="1" t="s">
        <v>6988</v>
      </c>
      <c r="C260" s="1" t="s">
        <v>1401</v>
      </c>
      <c r="D260" s="1" t="s">
        <v>53</v>
      </c>
      <c r="E260" s="2">
        <v>2023</v>
      </c>
      <c r="F260" s="1" t="s">
        <v>6989</v>
      </c>
      <c r="G260" s="1" t="s">
        <v>6990</v>
      </c>
      <c r="H260" s="1" t="s">
        <v>6991</v>
      </c>
      <c r="I260" s="1">
        <v>71</v>
      </c>
      <c r="J260" s="1">
        <v>23</v>
      </c>
      <c r="K260" s="1">
        <v>6</v>
      </c>
      <c r="L260" s="1">
        <v>18</v>
      </c>
      <c r="M260" s="1" t="s">
        <v>1407</v>
      </c>
      <c r="N260" s="1" t="s">
        <v>632</v>
      </c>
      <c r="O260" s="1" t="s">
        <v>1408</v>
      </c>
      <c r="P260" s="1" t="s">
        <v>1409</v>
      </c>
      <c r="Q260" s="1" t="s">
        <v>1410</v>
      </c>
      <c r="R260" s="1">
        <v>343</v>
      </c>
      <c r="S260" s="1" t="s">
        <v>48</v>
      </c>
      <c r="T260" s="1" t="s">
        <v>6992</v>
      </c>
      <c r="U260" s="1" t="str">
        <f>HYPERLINK("http://dx.doi.org/10.1016/j.jenvman.2023.118226","http://dx.doi.org/10.1016/j.jenvman.2023.118226")</f>
        <v>http://dx.doi.org/10.1016/j.jenvman.2023.118226</v>
      </c>
      <c r="V260" s="1">
        <v>13</v>
      </c>
      <c r="W260" s="1" t="s">
        <v>438</v>
      </c>
      <c r="X260" s="1" t="s">
        <v>67</v>
      </c>
      <c r="Y260" s="1" t="s">
        <v>439</v>
      </c>
      <c r="Z260" s="1">
        <v>37245309</v>
      </c>
      <c r="AA260" s="1" t="s">
        <v>48</v>
      </c>
    </row>
    <row r="261" spans="1:27" s="1" customFormat="1" ht="18.5" x14ac:dyDescent="0.45">
      <c r="A261" s="1" t="s">
        <v>7004</v>
      </c>
      <c r="B261" s="1" t="s">
        <v>7005</v>
      </c>
      <c r="C261" s="1" t="s">
        <v>7006</v>
      </c>
      <c r="D261" s="1" t="s">
        <v>53</v>
      </c>
      <c r="E261" s="2">
        <v>2023</v>
      </c>
      <c r="F261" s="1" t="s">
        <v>7007</v>
      </c>
      <c r="G261" s="1" t="s">
        <v>7008</v>
      </c>
      <c r="H261" s="1" t="s">
        <v>7009</v>
      </c>
      <c r="I261" s="1">
        <v>82</v>
      </c>
      <c r="J261" s="1">
        <v>18</v>
      </c>
      <c r="K261" s="1">
        <v>3</v>
      </c>
      <c r="L261" s="1">
        <v>25</v>
      </c>
      <c r="M261" s="1" t="s">
        <v>79</v>
      </c>
      <c r="N261" s="1" t="s">
        <v>80</v>
      </c>
      <c r="O261" s="1" t="s">
        <v>81</v>
      </c>
      <c r="P261" s="1" t="s">
        <v>48</v>
      </c>
      <c r="Q261" s="1" t="s">
        <v>7010</v>
      </c>
      <c r="R261" s="1">
        <v>47</v>
      </c>
      <c r="S261" s="1" t="s">
        <v>48</v>
      </c>
      <c r="T261" s="1" t="s">
        <v>7011</v>
      </c>
      <c r="U261" s="1" t="str">
        <f>HYPERLINK("http://dx.doi.org/10.1016/j.ejrh.2023.101385","http://dx.doi.org/10.1016/j.ejrh.2023.101385")</f>
        <v>http://dx.doi.org/10.1016/j.ejrh.2023.101385</v>
      </c>
      <c r="V261" s="1">
        <v>22</v>
      </c>
      <c r="W261" s="1" t="s">
        <v>205</v>
      </c>
      <c r="X261" s="1" t="s">
        <v>67</v>
      </c>
      <c r="Y261" s="1" t="s">
        <v>205</v>
      </c>
      <c r="Z261" s="1" t="s">
        <v>48</v>
      </c>
      <c r="AA261" s="1" t="s">
        <v>125</v>
      </c>
    </row>
    <row r="262" spans="1:27" s="1" customFormat="1" ht="18.5" x14ac:dyDescent="0.45">
      <c r="A262" s="1" t="s">
        <v>7012</v>
      </c>
      <c r="B262" s="1" t="s">
        <v>7013</v>
      </c>
      <c r="C262" s="1" t="s">
        <v>2575</v>
      </c>
      <c r="D262" s="1" t="s">
        <v>53</v>
      </c>
      <c r="E262" s="2">
        <v>2023</v>
      </c>
      <c r="F262" s="1" t="s">
        <v>7014</v>
      </c>
      <c r="G262" s="1" t="s">
        <v>7015</v>
      </c>
      <c r="H262" s="1" t="s">
        <v>7016</v>
      </c>
      <c r="I262" s="1">
        <v>59</v>
      </c>
      <c r="J262" s="1">
        <v>22</v>
      </c>
      <c r="K262" s="1">
        <v>1</v>
      </c>
      <c r="L262" s="1">
        <v>13</v>
      </c>
      <c r="M262" s="1" t="s">
        <v>503</v>
      </c>
      <c r="N262" s="1" t="s">
        <v>542</v>
      </c>
      <c r="O262" s="1" t="s">
        <v>543</v>
      </c>
      <c r="P262" s="1" t="s">
        <v>2581</v>
      </c>
      <c r="Q262" s="1" t="s">
        <v>2582</v>
      </c>
      <c r="R262" s="1">
        <v>82</v>
      </c>
      <c r="S262" s="1">
        <v>7</v>
      </c>
      <c r="T262" s="1" t="s">
        <v>7017</v>
      </c>
      <c r="U262" s="1" t="str">
        <f>HYPERLINK("http://dx.doi.org/10.1007/s11042-021-11595-4","http://dx.doi.org/10.1007/s11042-021-11595-4")</f>
        <v>http://dx.doi.org/10.1007/s11042-021-11595-4</v>
      </c>
      <c r="V262" s="1">
        <v>22</v>
      </c>
      <c r="W262" s="1" t="s">
        <v>2586</v>
      </c>
      <c r="X262" s="1" t="s">
        <v>67</v>
      </c>
      <c r="Y262" s="1" t="s">
        <v>389</v>
      </c>
      <c r="Z262" s="1" t="s">
        <v>48</v>
      </c>
      <c r="AA262" s="1" t="s">
        <v>48</v>
      </c>
    </row>
    <row r="263" spans="1:27" s="1" customFormat="1" ht="18.5" x14ac:dyDescent="0.45">
      <c r="A263" s="1" t="s">
        <v>6289</v>
      </c>
      <c r="B263" s="1" t="s">
        <v>7018</v>
      </c>
      <c r="C263" s="1" t="s">
        <v>209</v>
      </c>
      <c r="D263" s="1" t="s">
        <v>53</v>
      </c>
      <c r="E263" s="2">
        <v>2023</v>
      </c>
      <c r="F263" s="1" t="s">
        <v>7019</v>
      </c>
      <c r="G263" s="1" t="s">
        <v>6292</v>
      </c>
      <c r="H263" s="1" t="s">
        <v>7020</v>
      </c>
      <c r="I263" s="1">
        <v>37</v>
      </c>
      <c r="J263" s="1">
        <v>2</v>
      </c>
      <c r="K263" s="1">
        <v>2</v>
      </c>
      <c r="L263" s="1">
        <v>13</v>
      </c>
      <c r="M263" s="1" t="s">
        <v>215</v>
      </c>
      <c r="N263" s="1" t="s">
        <v>158</v>
      </c>
      <c r="O263" s="1" t="s">
        <v>216</v>
      </c>
      <c r="P263" s="1" t="s">
        <v>217</v>
      </c>
      <c r="Q263" s="1" t="s">
        <v>218</v>
      </c>
      <c r="R263" s="1">
        <v>232</v>
      </c>
      <c r="S263" s="1" t="s">
        <v>48</v>
      </c>
      <c r="T263" s="1" t="s">
        <v>7021</v>
      </c>
      <c r="U263" s="1" t="str">
        <f>HYPERLINK("http://dx.doi.org/10.1016/j.eswa.2023.120879","http://dx.doi.org/10.1016/j.eswa.2023.120879")</f>
        <v>http://dx.doi.org/10.1016/j.eswa.2023.120879</v>
      </c>
      <c r="V263" s="1">
        <v>16</v>
      </c>
      <c r="W263" s="1" t="s">
        <v>221</v>
      </c>
      <c r="X263" s="1" t="s">
        <v>67</v>
      </c>
      <c r="Y263" s="1" t="s">
        <v>222</v>
      </c>
      <c r="Z263" s="1">
        <v>37362254</v>
      </c>
      <c r="AA263" s="1" t="s">
        <v>1016</v>
      </c>
    </row>
    <row r="264" spans="1:27" s="1" customFormat="1" ht="18.5" x14ac:dyDescent="0.45">
      <c r="A264" s="1" t="s">
        <v>6434</v>
      </c>
      <c r="B264" s="1" t="s">
        <v>7051</v>
      </c>
      <c r="C264" s="1" t="s">
        <v>538</v>
      </c>
      <c r="D264" s="1" t="s">
        <v>53</v>
      </c>
      <c r="E264" s="2">
        <v>2023</v>
      </c>
      <c r="F264" s="1" t="s">
        <v>7052</v>
      </c>
      <c r="G264" s="1" t="s">
        <v>7053</v>
      </c>
      <c r="H264" s="1" t="s">
        <v>7054</v>
      </c>
      <c r="I264" s="1">
        <v>57</v>
      </c>
      <c r="J264" s="1">
        <v>20</v>
      </c>
      <c r="K264" s="1">
        <v>12</v>
      </c>
      <c r="L264" s="1">
        <v>55</v>
      </c>
      <c r="M264" s="1" t="s">
        <v>503</v>
      </c>
      <c r="N264" s="1" t="s">
        <v>542</v>
      </c>
      <c r="O264" s="1" t="s">
        <v>543</v>
      </c>
      <c r="P264" s="1" t="s">
        <v>544</v>
      </c>
      <c r="Q264" s="1" t="s">
        <v>545</v>
      </c>
      <c r="R264" s="1">
        <v>56</v>
      </c>
      <c r="S264" s="1" t="s">
        <v>3764</v>
      </c>
      <c r="T264" s="1" t="s">
        <v>7055</v>
      </c>
      <c r="U264" s="1" t="str">
        <f>HYPERLINK("http://dx.doi.org/10.1007/s10462-023-10611-3","http://dx.doi.org/10.1007/s10462-023-10611-3")</f>
        <v>http://dx.doi.org/10.1007/s10462-023-10611-3</v>
      </c>
      <c r="V264" s="1">
        <v>33</v>
      </c>
      <c r="W264" s="1" t="s">
        <v>549</v>
      </c>
      <c r="X264" s="1" t="s">
        <v>67</v>
      </c>
      <c r="Y264" s="1" t="s">
        <v>292</v>
      </c>
      <c r="Z264" s="1" t="s">
        <v>48</v>
      </c>
      <c r="AA264" s="1" t="s">
        <v>48</v>
      </c>
    </row>
    <row r="265" spans="1:27" s="1" customFormat="1" ht="18.5" x14ac:dyDescent="0.45">
      <c r="A265" s="1" t="s">
        <v>7056</v>
      </c>
      <c r="B265" s="1" t="s">
        <v>7057</v>
      </c>
      <c r="C265" s="1" t="s">
        <v>308</v>
      </c>
      <c r="D265" s="1" t="s">
        <v>53</v>
      </c>
      <c r="E265" s="2">
        <v>2023</v>
      </c>
      <c r="F265" s="1" t="s">
        <v>7058</v>
      </c>
      <c r="G265" s="1" t="s">
        <v>7059</v>
      </c>
      <c r="H265" s="1" t="s">
        <v>227</v>
      </c>
      <c r="I265" s="1">
        <v>45</v>
      </c>
      <c r="J265" s="1">
        <v>13</v>
      </c>
      <c r="K265" s="1">
        <v>1</v>
      </c>
      <c r="L265" s="1">
        <v>4</v>
      </c>
      <c r="M265" s="1" t="s">
        <v>313</v>
      </c>
      <c r="N265" s="1" t="s">
        <v>314</v>
      </c>
      <c r="O265" s="1" t="s">
        <v>315</v>
      </c>
      <c r="P265" s="1" t="s">
        <v>316</v>
      </c>
      <c r="Q265" s="1" t="s">
        <v>317</v>
      </c>
      <c r="R265" s="1">
        <v>19</v>
      </c>
      <c r="S265" s="1">
        <v>9</v>
      </c>
      <c r="T265" s="1" t="s">
        <v>7060</v>
      </c>
      <c r="U265" s="1" t="str">
        <f>HYPERLINK("http://dx.doi.org/10.3934/jimo.2022234","http://dx.doi.org/10.3934/jimo.2022234")</f>
        <v>http://dx.doi.org/10.3934/jimo.2022234</v>
      </c>
      <c r="V265" s="1">
        <v>17</v>
      </c>
      <c r="W265" s="1" t="s">
        <v>322</v>
      </c>
      <c r="X265" s="1" t="s">
        <v>67</v>
      </c>
      <c r="Y265" s="1" t="s">
        <v>323</v>
      </c>
      <c r="Z265" s="1" t="s">
        <v>48</v>
      </c>
      <c r="AA265" s="1" t="s">
        <v>125</v>
      </c>
    </row>
    <row r="266" spans="1:27" s="1" customFormat="1" ht="18.5" x14ac:dyDescent="0.45">
      <c r="A266" s="1" t="s">
        <v>7061</v>
      </c>
      <c r="B266" s="1" t="s">
        <v>7062</v>
      </c>
      <c r="C266" s="1" t="s">
        <v>7063</v>
      </c>
      <c r="D266" s="1" t="s">
        <v>53</v>
      </c>
      <c r="E266" s="2">
        <v>2023</v>
      </c>
      <c r="F266" s="1" t="s">
        <v>7064</v>
      </c>
      <c r="G266" s="1" t="s">
        <v>7065</v>
      </c>
      <c r="H266" s="1" t="s">
        <v>7066</v>
      </c>
      <c r="I266" s="1">
        <v>43</v>
      </c>
      <c r="J266" s="1">
        <v>0</v>
      </c>
      <c r="K266" s="1">
        <v>1</v>
      </c>
      <c r="L266" s="1">
        <v>6</v>
      </c>
      <c r="M266" s="1" t="s">
        <v>503</v>
      </c>
      <c r="N266" s="1" t="s">
        <v>504</v>
      </c>
      <c r="O266" s="1" t="s">
        <v>505</v>
      </c>
      <c r="P266" s="1" t="s">
        <v>7067</v>
      </c>
      <c r="Q266" s="1" t="s">
        <v>7068</v>
      </c>
      <c r="R266" s="1">
        <v>27</v>
      </c>
      <c r="S266" s="1">
        <v>6</v>
      </c>
      <c r="T266" s="1" t="s">
        <v>7069</v>
      </c>
      <c r="U266" s="1" t="str">
        <f>HYPERLINK("http://dx.doi.org/10.1007/s11852-023-00994-4","http://dx.doi.org/10.1007/s11852-023-00994-4")</f>
        <v>http://dx.doi.org/10.1007/s11852-023-00994-4</v>
      </c>
      <c r="V266" s="1">
        <v>16</v>
      </c>
      <c r="W266" s="1" t="s">
        <v>7070</v>
      </c>
      <c r="X266" s="1" t="s">
        <v>67</v>
      </c>
      <c r="Y266" s="1" t="s">
        <v>7071</v>
      </c>
      <c r="Z266" s="1" t="s">
        <v>48</v>
      </c>
      <c r="AA266" s="1" t="s">
        <v>48</v>
      </c>
    </row>
    <row r="267" spans="1:27" s="1" customFormat="1" ht="18.5" x14ac:dyDescent="0.45">
      <c r="A267" s="1" t="s">
        <v>7081</v>
      </c>
      <c r="B267" s="1" t="s">
        <v>7082</v>
      </c>
      <c r="C267" s="1" t="s">
        <v>7083</v>
      </c>
      <c r="D267" s="1" t="s">
        <v>53</v>
      </c>
      <c r="E267" s="2">
        <v>2023</v>
      </c>
      <c r="F267" s="1" t="s">
        <v>7084</v>
      </c>
      <c r="G267" s="1" t="s">
        <v>7085</v>
      </c>
      <c r="H267" s="1" t="s">
        <v>7086</v>
      </c>
      <c r="I267" s="1">
        <v>31</v>
      </c>
      <c r="J267" s="1">
        <v>6</v>
      </c>
      <c r="K267" s="1">
        <v>0</v>
      </c>
      <c r="L267" s="1">
        <v>5</v>
      </c>
      <c r="M267" s="1" t="s">
        <v>2607</v>
      </c>
      <c r="N267" s="1" t="s">
        <v>361</v>
      </c>
      <c r="O267" s="1" t="s">
        <v>2608</v>
      </c>
      <c r="P267" s="1" t="s">
        <v>7087</v>
      </c>
      <c r="Q267" s="1" t="s">
        <v>7088</v>
      </c>
      <c r="R267" s="1">
        <v>59</v>
      </c>
      <c r="S267" s="1">
        <v>48</v>
      </c>
      <c r="T267" s="1" t="s">
        <v>7089</v>
      </c>
      <c r="U267" s="1" t="str">
        <f>HYPERLINK("http://dx.doi.org/10.1039/d3cc02032k","http://dx.doi.org/10.1039/d3cc02032k")</f>
        <v>http://dx.doi.org/10.1039/d3cc02032k</v>
      </c>
      <c r="V267" s="1">
        <v>4</v>
      </c>
      <c r="W267" s="1" t="s">
        <v>2292</v>
      </c>
      <c r="X267" s="1" t="s">
        <v>67</v>
      </c>
      <c r="Y267" s="1" t="s">
        <v>2293</v>
      </c>
      <c r="Z267" s="1">
        <v>37233195</v>
      </c>
      <c r="AA267" s="1" t="s">
        <v>48</v>
      </c>
    </row>
    <row r="268" spans="1:27" s="1" customFormat="1" ht="18.5" x14ac:dyDescent="0.45">
      <c r="A268" s="1" t="s">
        <v>7165</v>
      </c>
      <c r="B268" s="1" t="s">
        <v>7166</v>
      </c>
      <c r="C268" s="1" t="s">
        <v>4506</v>
      </c>
      <c r="D268" s="1" t="s">
        <v>53</v>
      </c>
      <c r="E268" s="2">
        <v>2023</v>
      </c>
      <c r="F268" s="1" t="s">
        <v>7167</v>
      </c>
      <c r="G268" s="1" t="s">
        <v>7168</v>
      </c>
      <c r="H268" s="1" t="s">
        <v>7169</v>
      </c>
      <c r="I268" s="1">
        <v>110</v>
      </c>
      <c r="J268" s="1">
        <v>7</v>
      </c>
      <c r="K268" s="1">
        <v>1</v>
      </c>
      <c r="L268" s="1">
        <v>6</v>
      </c>
      <c r="M268" s="1" t="s">
        <v>79</v>
      </c>
      <c r="N268" s="1" t="s">
        <v>80</v>
      </c>
      <c r="O268" s="1" t="s">
        <v>81</v>
      </c>
      <c r="P268" s="1" t="s">
        <v>48</v>
      </c>
      <c r="Q268" s="1" t="s">
        <v>4509</v>
      </c>
      <c r="R268" s="1">
        <v>52</v>
      </c>
      <c r="S268" s="1" t="s">
        <v>48</v>
      </c>
      <c r="T268" s="1" t="s">
        <v>7170</v>
      </c>
      <c r="U268" s="1" t="str">
        <f>HYPERLINK("http://dx.doi.org/10.1016/j.bcab.2023.102825","http://dx.doi.org/10.1016/j.bcab.2023.102825")</f>
        <v>http://dx.doi.org/10.1016/j.bcab.2023.102825</v>
      </c>
      <c r="V268" s="1">
        <v>18</v>
      </c>
      <c r="W268" s="1" t="s">
        <v>1528</v>
      </c>
      <c r="X268" s="1" t="s">
        <v>124</v>
      </c>
      <c r="Y268" s="1" t="s">
        <v>1528</v>
      </c>
      <c r="Z268" s="1" t="s">
        <v>48</v>
      </c>
      <c r="AA268" s="1" t="s">
        <v>550</v>
      </c>
    </row>
    <row r="269" spans="1:27" s="1" customFormat="1" ht="18.5" x14ac:dyDescent="0.45">
      <c r="A269" s="1" t="s">
        <v>7171</v>
      </c>
      <c r="B269" s="1" t="s">
        <v>7172</v>
      </c>
      <c r="C269" s="1" t="s">
        <v>5412</v>
      </c>
      <c r="D269" s="1" t="s">
        <v>53</v>
      </c>
      <c r="E269" s="2">
        <v>2023</v>
      </c>
      <c r="F269" s="1" t="s">
        <v>7173</v>
      </c>
      <c r="G269" s="1" t="s">
        <v>7174</v>
      </c>
      <c r="H269" s="1" t="s">
        <v>6956</v>
      </c>
      <c r="I269" s="1">
        <v>65</v>
      </c>
      <c r="J269" s="1">
        <v>3</v>
      </c>
      <c r="K269" s="1">
        <v>2</v>
      </c>
      <c r="L269" s="1">
        <v>8</v>
      </c>
      <c r="M269" s="1" t="s">
        <v>215</v>
      </c>
      <c r="N269" s="1" t="s">
        <v>158</v>
      </c>
      <c r="O269" s="1" t="s">
        <v>216</v>
      </c>
      <c r="P269" s="1" t="s">
        <v>5419</v>
      </c>
      <c r="Q269" s="1" t="s">
        <v>5420</v>
      </c>
      <c r="R269" s="1">
        <v>243</v>
      </c>
      <c r="S269" s="1" t="s">
        <v>48</v>
      </c>
      <c r="T269" s="1" t="s">
        <v>7175</v>
      </c>
      <c r="U269" s="1" t="str">
        <f>HYPERLINK("http://dx.doi.org/10.1016/j.poly.2023.116543","http://dx.doi.org/10.1016/j.poly.2023.116543")</f>
        <v>http://dx.doi.org/10.1016/j.poly.2023.116543</v>
      </c>
      <c r="V269" s="1">
        <v>8</v>
      </c>
      <c r="W269" s="1" t="s">
        <v>5423</v>
      </c>
      <c r="X269" s="1" t="s">
        <v>67</v>
      </c>
      <c r="Y269" s="1" t="s">
        <v>5424</v>
      </c>
      <c r="Z269" s="1" t="s">
        <v>48</v>
      </c>
      <c r="AA269" s="1" t="s">
        <v>48</v>
      </c>
    </row>
    <row r="270" spans="1:27" s="1" customFormat="1" ht="18.5" x14ac:dyDescent="0.45">
      <c r="A270" s="1" t="s">
        <v>7184</v>
      </c>
      <c r="B270" s="1" t="s">
        <v>7185</v>
      </c>
      <c r="C270" s="1" t="s">
        <v>1273</v>
      </c>
      <c r="D270" s="1" t="s">
        <v>53</v>
      </c>
      <c r="E270" s="2">
        <v>2023</v>
      </c>
      <c r="F270" s="1" t="s">
        <v>7186</v>
      </c>
      <c r="G270" s="1" t="s">
        <v>7187</v>
      </c>
      <c r="H270" s="1" t="s">
        <v>7188</v>
      </c>
      <c r="I270" s="1">
        <v>50</v>
      </c>
      <c r="J270" s="1">
        <v>0</v>
      </c>
      <c r="K270" s="1">
        <v>1</v>
      </c>
      <c r="L270" s="1">
        <v>13</v>
      </c>
      <c r="M270" s="1" t="s">
        <v>215</v>
      </c>
      <c r="N270" s="1" t="s">
        <v>158</v>
      </c>
      <c r="O270" s="1" t="s">
        <v>216</v>
      </c>
      <c r="P270" s="1" t="s">
        <v>1276</v>
      </c>
      <c r="Q270" s="1" t="s">
        <v>1277</v>
      </c>
      <c r="R270" s="1">
        <v>123</v>
      </c>
      <c r="S270" s="1" t="s">
        <v>48</v>
      </c>
      <c r="T270" s="1" t="s">
        <v>7189</v>
      </c>
      <c r="U270" s="1" t="str">
        <f>HYPERLINK("http://dx.doi.org/10.1051/e3sconf/202233600060","http://dx.doi.org/10.1051/e3sconf/202233600060")</f>
        <v>http://dx.doi.org/10.1051/e3sconf/202233600060</v>
      </c>
      <c r="V270" s="1">
        <v>28</v>
      </c>
      <c r="W270" s="1" t="s">
        <v>1281</v>
      </c>
      <c r="X270" s="1" t="s">
        <v>67</v>
      </c>
      <c r="Y270" s="1" t="s">
        <v>1282</v>
      </c>
      <c r="Z270" s="1" t="s">
        <v>48</v>
      </c>
      <c r="AA270" s="1" t="s">
        <v>366</v>
      </c>
    </row>
    <row r="271" spans="1:27" s="1" customFormat="1" ht="18.5" x14ac:dyDescent="0.45">
      <c r="A271" s="1" t="s">
        <v>7190</v>
      </c>
      <c r="B271" s="1" t="s">
        <v>7191</v>
      </c>
      <c r="C271" s="1" t="s">
        <v>1273</v>
      </c>
      <c r="D271" s="1" t="s">
        <v>53</v>
      </c>
      <c r="E271" s="2">
        <v>2023</v>
      </c>
      <c r="F271" s="1" t="s">
        <v>7192</v>
      </c>
      <c r="G271" s="1" t="s">
        <v>7193</v>
      </c>
      <c r="H271" s="1" t="s">
        <v>3564</v>
      </c>
      <c r="I271" s="1">
        <v>67</v>
      </c>
      <c r="J271" s="1">
        <v>25</v>
      </c>
      <c r="K271" s="1">
        <v>0</v>
      </c>
      <c r="L271" s="1">
        <v>14</v>
      </c>
      <c r="M271" s="1" t="s">
        <v>215</v>
      </c>
      <c r="N271" s="1" t="s">
        <v>158</v>
      </c>
      <c r="O271" s="1" t="s">
        <v>216</v>
      </c>
      <c r="P271" s="1" t="s">
        <v>1276</v>
      </c>
      <c r="Q271" s="1" t="s">
        <v>1277</v>
      </c>
      <c r="R271" s="1">
        <v>126</v>
      </c>
      <c r="S271" s="1" t="s">
        <v>48</v>
      </c>
      <c r="T271" s="1" t="s">
        <v>7194</v>
      </c>
      <c r="U271" s="1" t="str">
        <f>HYPERLINK("http://dx.doi.org/10.1016/j.engappai.2023.106712","http://dx.doi.org/10.1016/j.engappai.2023.106712")</f>
        <v>http://dx.doi.org/10.1016/j.engappai.2023.106712</v>
      </c>
      <c r="V271" s="1">
        <v>23</v>
      </c>
      <c r="W271" s="1" t="s">
        <v>1281</v>
      </c>
      <c r="X271" s="1" t="s">
        <v>67</v>
      </c>
      <c r="Y271" s="1" t="s">
        <v>1282</v>
      </c>
      <c r="Z271" s="1" t="s">
        <v>48</v>
      </c>
      <c r="AA271" s="1" t="s">
        <v>48</v>
      </c>
    </row>
    <row r="272" spans="1:27" s="1" customFormat="1" ht="18.5" x14ac:dyDescent="0.45">
      <c r="A272" s="1" t="s">
        <v>7213</v>
      </c>
      <c r="B272" s="1" t="s">
        <v>7214</v>
      </c>
      <c r="C272" s="1" t="s">
        <v>3286</v>
      </c>
      <c r="D272" s="1" t="s">
        <v>53</v>
      </c>
      <c r="E272" s="2">
        <v>2023</v>
      </c>
      <c r="F272" s="1" t="s">
        <v>7215</v>
      </c>
      <c r="G272" s="1" t="s">
        <v>7216</v>
      </c>
      <c r="H272" s="1" t="s">
        <v>7217</v>
      </c>
      <c r="I272" s="1">
        <v>74</v>
      </c>
      <c r="J272" s="1">
        <v>0</v>
      </c>
      <c r="K272" s="1">
        <v>1</v>
      </c>
      <c r="L272" s="1">
        <v>3</v>
      </c>
      <c r="M272" s="1" t="s">
        <v>313</v>
      </c>
      <c r="N272" s="1" t="s">
        <v>314</v>
      </c>
      <c r="O272" s="1" t="s">
        <v>315</v>
      </c>
      <c r="P272" s="1" t="s">
        <v>48</v>
      </c>
      <c r="Q272" s="1" t="s">
        <v>3289</v>
      </c>
      <c r="R272" s="1">
        <v>8</v>
      </c>
      <c r="S272" s="1">
        <v>12</v>
      </c>
      <c r="T272" s="1" t="s">
        <v>7218</v>
      </c>
      <c r="U272" s="1" t="str">
        <f>HYPERLINK("http://dx.doi.org/10.3934/math.20231544","http://dx.doi.org/10.3934/math.20231544")</f>
        <v>http://dx.doi.org/10.3934/math.20231544</v>
      </c>
      <c r="V272" s="1">
        <v>35</v>
      </c>
      <c r="W272" s="1" t="s">
        <v>1041</v>
      </c>
      <c r="X272" s="1" t="s">
        <v>67</v>
      </c>
      <c r="Y272" s="1" t="s">
        <v>137</v>
      </c>
      <c r="Z272" s="1" t="s">
        <v>48</v>
      </c>
      <c r="AA272" s="1" t="s">
        <v>125</v>
      </c>
    </row>
    <row r="273" spans="1:27" s="1" customFormat="1" ht="18.5" x14ac:dyDescent="0.45">
      <c r="A273" s="1" t="s">
        <v>7219</v>
      </c>
      <c r="B273" s="1" t="s">
        <v>7220</v>
      </c>
      <c r="C273" s="1" t="s">
        <v>7221</v>
      </c>
      <c r="D273" s="1" t="s">
        <v>1114</v>
      </c>
      <c r="E273" s="2">
        <v>2023</v>
      </c>
      <c r="F273" s="1" t="s">
        <v>7222</v>
      </c>
      <c r="G273" s="1" t="s">
        <v>7223</v>
      </c>
      <c r="H273" s="1" t="s">
        <v>7224</v>
      </c>
      <c r="I273" s="1">
        <v>414</v>
      </c>
      <c r="J273" s="1">
        <v>92</v>
      </c>
      <c r="K273" s="1">
        <v>53</v>
      </c>
      <c r="L273" s="1">
        <v>240</v>
      </c>
      <c r="M273" s="1" t="s">
        <v>60</v>
      </c>
      <c r="N273" s="1" t="s">
        <v>61</v>
      </c>
      <c r="O273" s="1" t="s">
        <v>62</v>
      </c>
      <c r="P273" s="1" t="s">
        <v>7225</v>
      </c>
      <c r="Q273" s="1" t="s">
        <v>7226</v>
      </c>
      <c r="R273" s="1">
        <v>213</v>
      </c>
      <c r="S273" s="1" t="s">
        <v>48</v>
      </c>
      <c r="T273" s="1" t="s">
        <v>7227</v>
      </c>
      <c r="U273" s="1" t="str">
        <f>HYPERLINK("http://dx.doi.org/10.1016/j.dyepig.2023.111087","http://dx.doi.org/10.1016/j.dyepig.2023.111087")</f>
        <v>http://dx.doi.org/10.1016/j.dyepig.2023.111087</v>
      </c>
      <c r="V273" s="1">
        <v>35</v>
      </c>
      <c r="W273" s="1" t="s">
        <v>7228</v>
      </c>
      <c r="X273" s="1" t="s">
        <v>67</v>
      </c>
      <c r="Y273" s="1" t="s">
        <v>7229</v>
      </c>
      <c r="Z273" s="1" t="s">
        <v>48</v>
      </c>
      <c r="AA273" s="1" t="s">
        <v>48</v>
      </c>
    </row>
    <row r="274" spans="1:27" s="1" customFormat="1" ht="18.5" x14ac:dyDescent="0.45">
      <c r="A274" s="1" t="s">
        <v>7250</v>
      </c>
      <c r="B274" s="1" t="s">
        <v>7251</v>
      </c>
      <c r="C274" s="1" t="s">
        <v>7252</v>
      </c>
      <c r="D274" s="1" t="s">
        <v>53</v>
      </c>
      <c r="E274" s="2">
        <v>2023</v>
      </c>
      <c r="F274" s="1" t="s">
        <v>7253</v>
      </c>
      <c r="G274" s="1" t="s">
        <v>7254</v>
      </c>
      <c r="H274" s="1" t="s">
        <v>3564</v>
      </c>
      <c r="I274" s="1">
        <v>29</v>
      </c>
      <c r="J274" s="1">
        <v>8</v>
      </c>
      <c r="K274" s="1">
        <v>0</v>
      </c>
      <c r="L274" s="1">
        <v>1</v>
      </c>
      <c r="M274" s="1" t="s">
        <v>748</v>
      </c>
      <c r="N274" s="1" t="s">
        <v>749</v>
      </c>
      <c r="O274" s="1" t="s">
        <v>750</v>
      </c>
      <c r="P274" s="1" t="s">
        <v>7255</v>
      </c>
      <c r="Q274" s="1" t="s">
        <v>7256</v>
      </c>
      <c r="R274" s="1">
        <v>16</v>
      </c>
      <c r="S274" s="1">
        <v>2</v>
      </c>
      <c r="T274" s="1" t="s">
        <v>7257</v>
      </c>
      <c r="U274" s="1" t="str">
        <f>HYPERLINK("http://dx.doi.org/10.1142/S1793557123500195","http://dx.doi.org/10.1142/S1793557123500195")</f>
        <v>http://dx.doi.org/10.1142/S1793557123500195</v>
      </c>
      <c r="V274" s="1">
        <v>26</v>
      </c>
      <c r="W274" s="1" t="s">
        <v>137</v>
      </c>
      <c r="X274" s="1" t="s">
        <v>124</v>
      </c>
      <c r="Y274" s="1" t="s">
        <v>137</v>
      </c>
      <c r="Z274" s="1" t="s">
        <v>48</v>
      </c>
      <c r="AA274" s="1" t="s">
        <v>48</v>
      </c>
    </row>
    <row r="275" spans="1:27" s="1" customFormat="1" ht="18.5" x14ac:dyDescent="0.45">
      <c r="A275" s="1" t="s">
        <v>7258</v>
      </c>
      <c r="B275" s="1" t="s">
        <v>7259</v>
      </c>
      <c r="C275" s="1" t="s">
        <v>4869</v>
      </c>
      <c r="D275" s="1" t="s">
        <v>53</v>
      </c>
      <c r="E275" s="2">
        <v>2023</v>
      </c>
      <c r="F275" s="1" t="s">
        <v>7260</v>
      </c>
      <c r="G275" s="1" t="s">
        <v>7261</v>
      </c>
      <c r="H275" s="1" t="s">
        <v>7262</v>
      </c>
      <c r="I275" s="1">
        <v>46</v>
      </c>
      <c r="J275" s="1">
        <v>1</v>
      </c>
      <c r="K275" s="1">
        <v>2</v>
      </c>
      <c r="L275" s="1">
        <v>3</v>
      </c>
      <c r="M275" s="1" t="s">
        <v>448</v>
      </c>
      <c r="N275" s="1" t="s">
        <v>449</v>
      </c>
      <c r="O275" s="1" t="s">
        <v>450</v>
      </c>
      <c r="P275" s="1" t="s">
        <v>4872</v>
      </c>
      <c r="Q275" s="1" t="s">
        <v>4873</v>
      </c>
      <c r="R275" s="1">
        <v>132</v>
      </c>
      <c r="S275" s="1">
        <v>2</v>
      </c>
      <c r="T275" s="1" t="s">
        <v>7263</v>
      </c>
      <c r="U275" s="1" t="str">
        <f>HYPERLINK("http://dx.doi.org/10.1007/s12040-023-02093-2","http://dx.doi.org/10.1007/s12040-023-02093-2")</f>
        <v>http://dx.doi.org/10.1007/s12040-023-02093-2</v>
      </c>
      <c r="V275" s="1">
        <v>14</v>
      </c>
      <c r="W275" s="1" t="s">
        <v>4877</v>
      </c>
      <c r="X275" s="1" t="s">
        <v>67</v>
      </c>
      <c r="Y275" s="1" t="s">
        <v>4878</v>
      </c>
      <c r="Z275" s="1" t="s">
        <v>48</v>
      </c>
      <c r="AA275" s="1" t="s">
        <v>48</v>
      </c>
    </row>
    <row r="276" spans="1:27" s="1" customFormat="1" ht="18.5" x14ac:dyDescent="0.45">
      <c r="A276" s="1" t="s">
        <v>7324</v>
      </c>
      <c r="B276" s="1" t="s">
        <v>7325</v>
      </c>
      <c r="C276" s="1" t="s">
        <v>4265</v>
      </c>
      <c r="D276" s="1" t="s">
        <v>53</v>
      </c>
      <c r="E276" s="2">
        <v>2023</v>
      </c>
      <c r="F276" s="1" t="s">
        <v>7326</v>
      </c>
      <c r="G276" s="1" t="s">
        <v>7327</v>
      </c>
      <c r="H276" s="1" t="s">
        <v>7328</v>
      </c>
      <c r="I276" s="1">
        <v>83</v>
      </c>
      <c r="J276" s="1">
        <v>1</v>
      </c>
      <c r="K276" s="1">
        <v>15</v>
      </c>
      <c r="L276" s="1">
        <v>30</v>
      </c>
      <c r="M276" s="1" t="s">
        <v>503</v>
      </c>
      <c r="N276" s="1" t="s">
        <v>504</v>
      </c>
      <c r="O276" s="1" t="s">
        <v>505</v>
      </c>
      <c r="P276" s="1" t="s">
        <v>4267</v>
      </c>
      <c r="Q276" s="1" t="s">
        <v>4268</v>
      </c>
      <c r="R276" s="1">
        <v>29</v>
      </c>
      <c r="S276" s="1">
        <v>8</v>
      </c>
      <c r="T276" s="1" t="s">
        <v>7329</v>
      </c>
      <c r="U276" s="1" t="str">
        <f>HYPERLINK("http://dx.doi.org/10.1007/s00894-023-05626-0","http://dx.doi.org/10.1007/s00894-023-05626-0")</f>
        <v>http://dx.doi.org/10.1007/s00894-023-05626-0</v>
      </c>
      <c r="V276" s="1">
        <v>22</v>
      </c>
      <c r="W276" s="1" t="s">
        <v>4270</v>
      </c>
      <c r="X276" s="1" t="s">
        <v>67</v>
      </c>
      <c r="Y276" s="1" t="s">
        <v>4271</v>
      </c>
      <c r="Z276" s="1">
        <v>37423912</v>
      </c>
      <c r="AA276" s="1" t="s">
        <v>4333</v>
      </c>
    </row>
    <row r="277" spans="1:27" s="1" customFormat="1" ht="18.5" x14ac:dyDescent="0.45">
      <c r="A277" s="1" t="s">
        <v>7355</v>
      </c>
      <c r="B277" s="1" t="s">
        <v>7356</v>
      </c>
      <c r="C277" s="1" t="s">
        <v>7357</v>
      </c>
      <c r="D277" s="1" t="s">
        <v>53</v>
      </c>
      <c r="E277" s="2">
        <v>2023</v>
      </c>
      <c r="F277" s="1" t="s">
        <v>7358</v>
      </c>
      <c r="G277" s="1" t="s">
        <v>7359</v>
      </c>
      <c r="H277" s="1" t="s">
        <v>7360</v>
      </c>
      <c r="I277" s="1">
        <v>135</v>
      </c>
      <c r="J277" s="1">
        <v>0</v>
      </c>
      <c r="K277" s="1">
        <v>0</v>
      </c>
      <c r="L277" s="1">
        <v>2</v>
      </c>
      <c r="M277" s="1" t="s">
        <v>132</v>
      </c>
      <c r="N277" s="1" t="s">
        <v>133</v>
      </c>
      <c r="O277" s="1" t="s">
        <v>134</v>
      </c>
      <c r="P277" s="1" t="s">
        <v>48</v>
      </c>
      <c r="Q277" s="1" t="s">
        <v>7361</v>
      </c>
      <c r="R277" s="1">
        <v>11</v>
      </c>
      <c r="S277" s="1">
        <v>6</v>
      </c>
      <c r="T277" s="1" t="s">
        <v>7362</v>
      </c>
      <c r="U277" s="1" t="str">
        <f>HYPERLINK("http://dx.doi.org/10.3390/atoms11060087","http://dx.doi.org/10.3390/atoms11060087")</f>
        <v>http://dx.doi.org/10.3390/atoms11060087</v>
      </c>
      <c r="V277" s="1">
        <v>22</v>
      </c>
      <c r="W277" s="1" t="s">
        <v>7363</v>
      </c>
      <c r="X277" s="1" t="s">
        <v>124</v>
      </c>
      <c r="Y277" s="1" t="s">
        <v>670</v>
      </c>
      <c r="Z277" s="1" t="s">
        <v>48</v>
      </c>
      <c r="AA277" s="1" t="s">
        <v>3590</v>
      </c>
    </row>
    <row r="278" spans="1:27" s="1" customFormat="1" ht="18.5" x14ac:dyDescent="0.45">
      <c r="A278" s="1" t="s">
        <v>7391</v>
      </c>
      <c r="B278" s="1" t="s">
        <v>7392</v>
      </c>
      <c r="C278" s="1" t="s">
        <v>7393</v>
      </c>
      <c r="D278" s="1" t="s">
        <v>53</v>
      </c>
      <c r="E278" s="2">
        <v>2023</v>
      </c>
      <c r="F278" s="1" t="s">
        <v>7394</v>
      </c>
      <c r="G278" s="1" t="s">
        <v>7395</v>
      </c>
      <c r="H278" s="1" t="s">
        <v>7396</v>
      </c>
      <c r="I278" s="1">
        <v>24</v>
      </c>
      <c r="J278" s="1">
        <v>2</v>
      </c>
      <c r="K278" s="1">
        <v>0</v>
      </c>
      <c r="L278" s="1">
        <v>0</v>
      </c>
      <c r="M278" s="1" t="s">
        <v>7397</v>
      </c>
      <c r="N278" s="1" t="s">
        <v>7398</v>
      </c>
      <c r="O278" s="1" t="s">
        <v>7399</v>
      </c>
      <c r="P278" s="1" t="s">
        <v>7400</v>
      </c>
      <c r="Q278" s="1" t="s">
        <v>7401</v>
      </c>
      <c r="R278" s="1">
        <v>12</v>
      </c>
      <c r="S278" s="1">
        <v>1</v>
      </c>
      <c r="T278" s="1" t="s">
        <v>7402</v>
      </c>
      <c r="U278" s="1" t="str">
        <f>HYPERLINK("http://dx.doi.org/10.5890/JAND.2023.03.003","http://dx.doi.org/10.5890/JAND.2023.03.003")</f>
        <v>http://dx.doi.org/10.5890/JAND.2023.03.003</v>
      </c>
      <c r="V278" s="1">
        <v>13</v>
      </c>
      <c r="W278" s="1" t="s">
        <v>7403</v>
      </c>
      <c r="X278" s="1" t="s">
        <v>124</v>
      </c>
      <c r="Y278" s="1" t="s">
        <v>7404</v>
      </c>
      <c r="Z278" s="1" t="s">
        <v>48</v>
      </c>
      <c r="AA278" s="1" t="s">
        <v>48</v>
      </c>
    </row>
    <row r="279" spans="1:27" s="1" customFormat="1" ht="18.5" x14ac:dyDescent="0.45">
      <c r="A279" s="1" t="s">
        <v>7425</v>
      </c>
      <c r="B279" s="1" t="s">
        <v>7426</v>
      </c>
      <c r="C279" s="1" t="s">
        <v>6530</v>
      </c>
      <c r="D279" s="1" t="s">
        <v>53</v>
      </c>
      <c r="E279" s="2">
        <v>2023</v>
      </c>
      <c r="F279" s="1" t="s">
        <v>7427</v>
      </c>
      <c r="G279" s="1" t="s">
        <v>7428</v>
      </c>
      <c r="H279" s="1" t="s">
        <v>6380</v>
      </c>
      <c r="I279" s="1">
        <v>86</v>
      </c>
      <c r="J279" s="1">
        <v>6</v>
      </c>
      <c r="K279" s="1">
        <v>1</v>
      </c>
      <c r="L279" s="1">
        <v>10</v>
      </c>
      <c r="M279" s="1" t="s">
        <v>3024</v>
      </c>
      <c r="N279" s="1" t="s">
        <v>422</v>
      </c>
      <c r="O279" s="1" t="s">
        <v>3025</v>
      </c>
      <c r="P279" s="1" t="s">
        <v>6532</v>
      </c>
      <c r="Q279" s="1" t="s">
        <v>6533</v>
      </c>
      <c r="R279" s="1">
        <v>550</v>
      </c>
      <c r="S279" s="1" t="s">
        <v>48</v>
      </c>
      <c r="T279" s="1" t="s">
        <v>7429</v>
      </c>
      <c r="U279" s="1" t="str">
        <f>HYPERLINK("http://dx.doi.org/10.1016/j.ica.2023.121423","http://dx.doi.org/10.1016/j.ica.2023.121423")</f>
        <v>http://dx.doi.org/10.1016/j.ica.2023.121423</v>
      </c>
      <c r="V279" s="1">
        <v>8</v>
      </c>
      <c r="W279" s="1" t="s">
        <v>4434</v>
      </c>
      <c r="X279" s="1" t="s">
        <v>67</v>
      </c>
      <c r="Y279" s="1" t="s">
        <v>2293</v>
      </c>
      <c r="Z279" s="1" t="s">
        <v>48</v>
      </c>
      <c r="AA279" s="1" t="s">
        <v>48</v>
      </c>
    </row>
    <row r="280" spans="1:27" s="1" customFormat="1" ht="18.5" x14ac:dyDescent="0.45">
      <c r="A280" s="1" t="s">
        <v>7489</v>
      </c>
      <c r="B280" s="1" t="s">
        <v>7490</v>
      </c>
      <c r="C280" s="1" t="s">
        <v>7491</v>
      </c>
      <c r="D280" s="1" t="s">
        <v>53</v>
      </c>
      <c r="E280" s="2">
        <v>2023</v>
      </c>
      <c r="F280" s="1" t="s">
        <v>7492</v>
      </c>
      <c r="G280" s="1" t="s">
        <v>7493</v>
      </c>
      <c r="H280" s="1" t="s">
        <v>7494</v>
      </c>
      <c r="I280" s="1">
        <v>60</v>
      </c>
      <c r="J280" s="1">
        <v>24</v>
      </c>
      <c r="K280" s="1">
        <v>2</v>
      </c>
      <c r="L280" s="1">
        <v>22</v>
      </c>
      <c r="M280" s="1" t="s">
        <v>79</v>
      </c>
      <c r="N280" s="1" t="s">
        <v>80</v>
      </c>
      <c r="O280" s="1" t="s">
        <v>81</v>
      </c>
      <c r="P280" s="1" t="s">
        <v>7495</v>
      </c>
      <c r="Q280" s="1" t="s">
        <v>7496</v>
      </c>
      <c r="R280" s="1">
        <v>96</v>
      </c>
      <c r="S280" s="1" t="s">
        <v>48</v>
      </c>
      <c r="T280" s="1" t="s">
        <v>7499</v>
      </c>
      <c r="U280" s="1" t="str">
        <f>HYPERLINK("http://dx.doi.org/10.1016/j.scs.2023.104709","http://dx.doi.org/10.1016/j.scs.2023.104709")</f>
        <v>http://dx.doi.org/10.1016/j.scs.2023.104709</v>
      </c>
      <c r="V280" s="1">
        <v>19</v>
      </c>
      <c r="W280" s="1" t="s">
        <v>7500</v>
      </c>
      <c r="X280" s="1" t="s">
        <v>67</v>
      </c>
      <c r="Y280" s="1" t="s">
        <v>7501</v>
      </c>
      <c r="Z280" s="1" t="s">
        <v>48</v>
      </c>
      <c r="AA280" s="1" t="s">
        <v>48</v>
      </c>
    </row>
    <row r="281" spans="1:27" s="1" customFormat="1" ht="18.5" x14ac:dyDescent="0.45">
      <c r="A281" s="1" t="s">
        <v>7566</v>
      </c>
      <c r="B281" s="1" t="s">
        <v>7567</v>
      </c>
      <c r="C281" s="1" t="s">
        <v>209</v>
      </c>
      <c r="D281" s="1" t="s">
        <v>53</v>
      </c>
      <c r="E281" s="2">
        <v>2023</v>
      </c>
      <c r="F281" s="1" t="s">
        <v>7568</v>
      </c>
      <c r="G281" s="1" t="s">
        <v>7569</v>
      </c>
      <c r="H281" s="1" t="s">
        <v>7570</v>
      </c>
      <c r="I281" s="1">
        <v>62</v>
      </c>
      <c r="J281" s="1">
        <v>4</v>
      </c>
      <c r="K281" s="1">
        <v>6</v>
      </c>
      <c r="L281" s="1">
        <v>15</v>
      </c>
      <c r="M281" s="1" t="s">
        <v>215</v>
      </c>
      <c r="N281" s="1" t="s">
        <v>158</v>
      </c>
      <c r="O281" s="1" t="s">
        <v>216</v>
      </c>
      <c r="P281" s="1" t="s">
        <v>217</v>
      </c>
      <c r="Q281" s="1" t="s">
        <v>218</v>
      </c>
      <c r="R281" s="1">
        <v>229</v>
      </c>
      <c r="S281" s="1" t="s">
        <v>48</v>
      </c>
      <c r="T281" s="1" t="s">
        <v>7571</v>
      </c>
      <c r="U281" s="1" t="str">
        <f>HYPERLINK("http://dx.doi.org/10.1016/j.eswa.2023.120300","http://dx.doi.org/10.1016/j.eswa.2023.120300")</f>
        <v>http://dx.doi.org/10.1016/j.eswa.2023.120300</v>
      </c>
      <c r="V281" s="1">
        <v>21</v>
      </c>
      <c r="W281" s="1" t="s">
        <v>221</v>
      </c>
      <c r="X281" s="1" t="s">
        <v>67</v>
      </c>
      <c r="Y281" s="1" t="s">
        <v>222</v>
      </c>
      <c r="Z281" s="1" t="s">
        <v>48</v>
      </c>
      <c r="AA281" s="1" t="s">
        <v>48</v>
      </c>
    </row>
    <row r="282" spans="1:27" s="1" customFormat="1" ht="18.5" x14ac:dyDescent="0.45">
      <c r="A282" s="1" t="s">
        <v>7611</v>
      </c>
      <c r="B282" s="1" t="s">
        <v>7612</v>
      </c>
      <c r="C282" s="1" t="s">
        <v>7613</v>
      </c>
      <c r="D282" s="1" t="s">
        <v>53</v>
      </c>
      <c r="E282" s="2">
        <v>2023</v>
      </c>
      <c r="F282" s="1" t="s">
        <v>7614</v>
      </c>
      <c r="G282" s="1" t="s">
        <v>7615</v>
      </c>
      <c r="H282" s="1" t="s">
        <v>7616</v>
      </c>
      <c r="I282" s="1">
        <v>51</v>
      </c>
      <c r="J282" s="1">
        <v>3</v>
      </c>
      <c r="K282" s="1">
        <v>1</v>
      </c>
      <c r="L282" s="1">
        <v>8</v>
      </c>
      <c r="M282" s="1" t="s">
        <v>79</v>
      </c>
      <c r="N282" s="1" t="s">
        <v>80</v>
      </c>
      <c r="O282" s="1" t="s">
        <v>81</v>
      </c>
      <c r="P282" s="1" t="s">
        <v>7617</v>
      </c>
      <c r="Q282" s="1" t="s">
        <v>48</v>
      </c>
      <c r="R282" s="1">
        <v>94</v>
      </c>
      <c r="S282" s="1" t="s">
        <v>48</v>
      </c>
      <c r="T282" s="1" t="s">
        <v>7618</v>
      </c>
      <c r="U282" s="1" t="str">
        <f>HYPERLINK("http://dx.doi.org/10.1016/j.ijdrr.2023.103799","http://dx.doi.org/10.1016/j.ijdrr.2023.103799")</f>
        <v>http://dx.doi.org/10.1016/j.ijdrr.2023.103799</v>
      </c>
      <c r="V282" s="1">
        <v>16</v>
      </c>
      <c r="W282" s="1" t="s">
        <v>6923</v>
      </c>
      <c r="X282" s="1" t="s">
        <v>67</v>
      </c>
      <c r="Y282" s="1" t="s">
        <v>6924</v>
      </c>
      <c r="Z282" s="1">
        <v>37360250</v>
      </c>
      <c r="AA282" s="1" t="s">
        <v>1003</v>
      </c>
    </row>
    <row r="283" spans="1:27" s="1" customFormat="1" ht="18.5" x14ac:dyDescent="0.45">
      <c r="A283" s="1" t="s">
        <v>7629</v>
      </c>
      <c r="B283" s="1" t="s">
        <v>7630</v>
      </c>
      <c r="C283" s="1" t="s">
        <v>308</v>
      </c>
      <c r="D283" s="1" t="s">
        <v>53</v>
      </c>
      <c r="E283" s="2">
        <v>2023</v>
      </c>
      <c r="F283" s="1" t="s">
        <v>7631</v>
      </c>
      <c r="G283" s="1" t="s">
        <v>7632</v>
      </c>
      <c r="H283" s="1" t="s">
        <v>7633</v>
      </c>
      <c r="I283" s="1">
        <v>46</v>
      </c>
      <c r="J283" s="1">
        <v>12</v>
      </c>
      <c r="K283" s="1">
        <v>1</v>
      </c>
      <c r="L283" s="1">
        <v>13</v>
      </c>
      <c r="M283" s="1" t="s">
        <v>313</v>
      </c>
      <c r="N283" s="1" t="s">
        <v>314</v>
      </c>
      <c r="O283" s="1" t="s">
        <v>315</v>
      </c>
      <c r="P283" s="1" t="s">
        <v>316</v>
      </c>
      <c r="Q283" s="1" t="s">
        <v>317</v>
      </c>
      <c r="R283" s="1">
        <v>19</v>
      </c>
      <c r="S283" s="1">
        <v>2</v>
      </c>
      <c r="T283" s="1" t="s">
        <v>7634</v>
      </c>
      <c r="U283" s="1" t="str">
        <f>HYPERLINK("http://dx.doi.org/10.3934/jimo.2021233","http://dx.doi.org/10.3934/jimo.2021233")</f>
        <v>http://dx.doi.org/10.3934/jimo.2021233</v>
      </c>
      <c r="V283" s="1">
        <v>28</v>
      </c>
      <c r="W283" s="1" t="s">
        <v>322</v>
      </c>
      <c r="X283" s="1" t="s">
        <v>67</v>
      </c>
      <c r="Y283" s="1" t="s">
        <v>323</v>
      </c>
      <c r="Z283" s="1" t="s">
        <v>48</v>
      </c>
      <c r="AA283" s="1" t="s">
        <v>125</v>
      </c>
    </row>
    <row r="284" spans="1:27" s="1" customFormat="1" ht="18.5" x14ac:dyDescent="0.45">
      <c r="A284" s="1" t="s">
        <v>7670</v>
      </c>
      <c r="B284" s="1" t="s">
        <v>7671</v>
      </c>
      <c r="C284" s="1" t="s">
        <v>7672</v>
      </c>
      <c r="D284" s="1" t="s">
        <v>53</v>
      </c>
      <c r="E284" s="2">
        <v>2023</v>
      </c>
      <c r="F284" s="1" t="s">
        <v>7673</v>
      </c>
      <c r="G284" s="1" t="s">
        <v>7674</v>
      </c>
      <c r="H284" s="1" t="s">
        <v>7675</v>
      </c>
      <c r="I284" s="1">
        <v>45</v>
      </c>
      <c r="J284" s="1">
        <v>3</v>
      </c>
      <c r="K284" s="1">
        <v>0</v>
      </c>
      <c r="L284" s="1">
        <v>11</v>
      </c>
      <c r="M284" s="1" t="s">
        <v>503</v>
      </c>
      <c r="N284" s="1" t="s">
        <v>542</v>
      </c>
      <c r="O284" s="1" t="s">
        <v>543</v>
      </c>
      <c r="P284" s="1" t="s">
        <v>7676</v>
      </c>
      <c r="Q284" s="1" t="s">
        <v>7677</v>
      </c>
      <c r="R284" s="1">
        <v>22</v>
      </c>
      <c r="S284" s="1">
        <v>3</v>
      </c>
      <c r="T284" s="1" t="s">
        <v>7678</v>
      </c>
      <c r="U284" s="1" t="str">
        <f>HYPERLINK("http://dx.doi.org/10.1007/s11842-023-09542-2","http://dx.doi.org/10.1007/s11842-023-09542-2")</f>
        <v>http://dx.doi.org/10.1007/s11842-023-09542-2</v>
      </c>
      <c r="V284" s="1">
        <v>20</v>
      </c>
      <c r="W284" s="1" t="s">
        <v>7679</v>
      </c>
      <c r="X284" s="1" t="s">
        <v>67</v>
      </c>
      <c r="Y284" s="1" t="s">
        <v>7679</v>
      </c>
      <c r="Z284" s="1" t="s">
        <v>48</v>
      </c>
      <c r="AA284" s="1" t="s">
        <v>48</v>
      </c>
    </row>
    <row r="285" spans="1:27" s="1" customFormat="1" ht="18.5" x14ac:dyDescent="0.45">
      <c r="A285" s="1" t="s">
        <v>7722</v>
      </c>
      <c r="B285" s="1" t="s">
        <v>7723</v>
      </c>
      <c r="C285" s="1" t="s">
        <v>7724</v>
      </c>
      <c r="D285" s="1" t="s">
        <v>53</v>
      </c>
      <c r="E285" s="2">
        <v>2023</v>
      </c>
      <c r="F285" s="1" t="s">
        <v>7725</v>
      </c>
      <c r="G285" s="1" t="s">
        <v>7726</v>
      </c>
      <c r="H285" s="1" t="s">
        <v>7727</v>
      </c>
      <c r="I285" s="1">
        <v>56</v>
      </c>
      <c r="J285" s="1">
        <v>1</v>
      </c>
      <c r="K285" s="1">
        <v>7</v>
      </c>
      <c r="L285" s="1">
        <v>21</v>
      </c>
      <c r="M285" s="1" t="s">
        <v>7728</v>
      </c>
      <c r="N285" s="1" t="s">
        <v>632</v>
      </c>
      <c r="O285" s="1" t="s">
        <v>7729</v>
      </c>
      <c r="P285" s="1" t="s">
        <v>48</v>
      </c>
      <c r="Q285" s="1" t="s">
        <v>7730</v>
      </c>
      <c r="R285" s="1">
        <v>9</v>
      </c>
      <c r="S285" s="1" t="s">
        <v>48</v>
      </c>
      <c r="T285" s="1" t="s">
        <v>7731</v>
      </c>
      <c r="U285" s="1" t="str">
        <f>HYPERLINK("http://dx.doi.org/10.7717/peerj-cs.1666","http://dx.doi.org/10.7717/peerj-cs.1666")</f>
        <v>http://dx.doi.org/10.7717/peerj-cs.1666</v>
      </c>
      <c r="V285" s="1">
        <v>25</v>
      </c>
      <c r="W285" s="1" t="s">
        <v>7732</v>
      </c>
      <c r="X285" s="1" t="s">
        <v>67</v>
      </c>
      <c r="Y285" s="1" t="s">
        <v>292</v>
      </c>
      <c r="Z285" s="1">
        <v>38192452</v>
      </c>
      <c r="AA285" s="1" t="s">
        <v>337</v>
      </c>
    </row>
    <row r="286" spans="1:27" s="1" customFormat="1" ht="18.5" x14ac:dyDescent="0.45">
      <c r="A286" s="1" t="s">
        <v>7746</v>
      </c>
      <c r="B286" s="1" t="s">
        <v>7747</v>
      </c>
      <c r="C286" s="1" t="s">
        <v>7748</v>
      </c>
      <c r="D286" s="1" t="s">
        <v>1114</v>
      </c>
      <c r="E286" s="2">
        <v>2023</v>
      </c>
      <c r="F286" s="1" t="s">
        <v>7749</v>
      </c>
      <c r="G286" s="1" t="s">
        <v>7750</v>
      </c>
      <c r="H286" s="1" t="s">
        <v>7751</v>
      </c>
      <c r="I286" s="1">
        <v>186</v>
      </c>
      <c r="J286" s="1">
        <v>32</v>
      </c>
      <c r="K286" s="1">
        <v>20</v>
      </c>
      <c r="L286" s="1">
        <v>162</v>
      </c>
      <c r="M286" s="1" t="s">
        <v>1242</v>
      </c>
      <c r="N286" s="1" t="s">
        <v>1243</v>
      </c>
      <c r="O286" s="1" t="s">
        <v>1244</v>
      </c>
      <c r="P286" s="1" t="s">
        <v>7752</v>
      </c>
      <c r="Q286" s="1" t="s">
        <v>7753</v>
      </c>
      <c r="R286" s="1">
        <v>63</v>
      </c>
      <c r="S286" s="1">
        <v>33</v>
      </c>
      <c r="T286" s="1" t="s">
        <v>7754</v>
      </c>
      <c r="U286" s="1" t="str">
        <f>HYPERLINK("http://dx.doi.org/10.1080/10408398.2022.2103087","http://dx.doi.org/10.1080/10408398.2022.2103087")</f>
        <v>http://dx.doi.org/10.1080/10408398.2022.2103087</v>
      </c>
      <c r="V286" s="1">
        <v>22</v>
      </c>
      <c r="W286" s="1" t="s">
        <v>7755</v>
      </c>
      <c r="X286" s="1" t="s">
        <v>67</v>
      </c>
      <c r="Y286" s="1" t="s">
        <v>7755</v>
      </c>
      <c r="Z286" s="1">
        <v>35916765</v>
      </c>
      <c r="AA286" s="1" t="s">
        <v>48</v>
      </c>
    </row>
    <row r="287" spans="1:27" s="1" customFormat="1" ht="18.5" x14ac:dyDescent="0.45">
      <c r="A287" s="1" t="s">
        <v>7785</v>
      </c>
      <c r="B287" s="1" t="s">
        <v>7786</v>
      </c>
      <c r="C287" s="1" t="s">
        <v>4184</v>
      </c>
      <c r="D287" s="1" t="s">
        <v>111</v>
      </c>
      <c r="E287" s="2">
        <v>2023</v>
      </c>
      <c r="F287" s="1" t="s">
        <v>7787</v>
      </c>
      <c r="G287" s="1" t="s">
        <v>7788</v>
      </c>
      <c r="H287" s="1" t="s">
        <v>6617</v>
      </c>
      <c r="I287" s="1">
        <v>80</v>
      </c>
      <c r="J287" s="1">
        <v>8</v>
      </c>
      <c r="K287" s="1">
        <v>2</v>
      </c>
      <c r="L287" s="1">
        <v>7</v>
      </c>
      <c r="M287" s="1" t="s">
        <v>958</v>
      </c>
      <c r="N287" s="1" t="s">
        <v>632</v>
      </c>
      <c r="O287" s="1" t="s">
        <v>959</v>
      </c>
      <c r="P287" s="1" t="s">
        <v>4190</v>
      </c>
      <c r="Q287" s="1" t="s">
        <v>4191</v>
      </c>
      <c r="R287" s="1" t="s">
        <v>48</v>
      </c>
      <c r="S287" s="1" t="s">
        <v>48</v>
      </c>
      <c r="T287" s="1" t="s">
        <v>7789</v>
      </c>
      <c r="U287" s="1" t="str">
        <f>HYPERLINK("http://dx.doi.org/10.1177/0958305X231183921","http://dx.doi.org/10.1177/0958305X231183921")</f>
        <v>http://dx.doi.org/10.1177/0958305X231183921</v>
      </c>
      <c r="V287" s="1">
        <v>17</v>
      </c>
      <c r="W287" s="1" t="s">
        <v>4193</v>
      </c>
      <c r="X287" s="1" t="s">
        <v>106</v>
      </c>
      <c r="Y287" s="1" t="s">
        <v>439</v>
      </c>
      <c r="Z287" s="1" t="s">
        <v>48</v>
      </c>
      <c r="AA287" s="1" t="s">
        <v>48</v>
      </c>
    </row>
    <row r="288" spans="1:27" s="1" customFormat="1" ht="18.5" x14ac:dyDescent="0.45">
      <c r="A288" s="1" t="s">
        <v>7803</v>
      </c>
      <c r="B288" s="1" t="s">
        <v>7804</v>
      </c>
      <c r="C288" s="1" t="s">
        <v>1165</v>
      </c>
      <c r="D288" s="1" t="s">
        <v>53</v>
      </c>
      <c r="E288" s="2">
        <v>2023</v>
      </c>
      <c r="F288" s="1" t="s">
        <v>7805</v>
      </c>
      <c r="G288" s="1" t="s">
        <v>7806</v>
      </c>
      <c r="H288" s="1" t="s">
        <v>7807</v>
      </c>
      <c r="I288" s="1">
        <v>50</v>
      </c>
      <c r="J288" s="1">
        <v>21</v>
      </c>
      <c r="K288" s="1">
        <v>1</v>
      </c>
      <c r="L288" s="1">
        <v>21</v>
      </c>
      <c r="M288" s="1" t="s">
        <v>1168</v>
      </c>
      <c r="N288" s="1" t="s">
        <v>504</v>
      </c>
      <c r="O288" s="1" t="s">
        <v>1169</v>
      </c>
      <c r="P288" s="1" t="s">
        <v>1170</v>
      </c>
      <c r="Q288" s="1" t="s">
        <v>1171</v>
      </c>
      <c r="R288" s="1">
        <v>649</v>
      </c>
      <c r="S288" s="1" t="s">
        <v>48</v>
      </c>
      <c r="T288" s="1" t="s">
        <v>7808</v>
      </c>
      <c r="U288" s="1" t="str">
        <f>HYPERLINK("http://dx.doi.org/10.1016/j.ins.2023.119681","http://dx.doi.org/10.1016/j.ins.2023.119681")</f>
        <v>http://dx.doi.org/10.1016/j.ins.2023.119681</v>
      </c>
      <c r="V288" s="1">
        <v>32</v>
      </c>
      <c r="W288" s="1" t="s">
        <v>291</v>
      </c>
      <c r="X288" s="1" t="s">
        <v>67</v>
      </c>
      <c r="Y288" s="1" t="s">
        <v>292</v>
      </c>
      <c r="Z288" s="1" t="s">
        <v>48</v>
      </c>
      <c r="AA288" s="1" t="s">
        <v>48</v>
      </c>
    </row>
    <row r="289" spans="1:27" s="1" customFormat="1" ht="18.5" x14ac:dyDescent="0.45">
      <c r="A289" s="1" t="s">
        <v>7874</v>
      </c>
      <c r="B289" s="1" t="s">
        <v>7875</v>
      </c>
      <c r="C289" s="1" t="s">
        <v>209</v>
      </c>
      <c r="D289" s="1" t="s">
        <v>53</v>
      </c>
      <c r="E289" s="2">
        <v>2023</v>
      </c>
      <c r="F289" s="1" t="s">
        <v>7876</v>
      </c>
      <c r="G289" s="1" t="s">
        <v>7877</v>
      </c>
      <c r="H289" s="1" t="s">
        <v>5408</v>
      </c>
      <c r="I289" s="1">
        <v>55</v>
      </c>
      <c r="J289" s="1">
        <v>11</v>
      </c>
      <c r="K289" s="1">
        <v>2</v>
      </c>
      <c r="L289" s="1">
        <v>38</v>
      </c>
      <c r="M289" s="1" t="s">
        <v>215</v>
      </c>
      <c r="N289" s="1" t="s">
        <v>158</v>
      </c>
      <c r="O289" s="1" t="s">
        <v>216</v>
      </c>
      <c r="P289" s="1" t="s">
        <v>217</v>
      </c>
      <c r="Q289" s="1" t="s">
        <v>218</v>
      </c>
      <c r="R289" s="1">
        <v>212</v>
      </c>
      <c r="S289" s="1" t="s">
        <v>48</v>
      </c>
      <c r="T289" s="1" t="s">
        <v>7878</v>
      </c>
      <c r="U289" s="1" t="str">
        <f>HYPERLINK("http://dx.doi.org/10.1016/j.eswa.2022.118797","http://dx.doi.org/10.1016/j.eswa.2022.118797")</f>
        <v>http://dx.doi.org/10.1016/j.eswa.2022.118797</v>
      </c>
      <c r="V289" s="1">
        <v>16</v>
      </c>
      <c r="W289" s="1" t="s">
        <v>221</v>
      </c>
      <c r="X289" s="1" t="s">
        <v>67</v>
      </c>
      <c r="Y289" s="1" t="s">
        <v>222</v>
      </c>
      <c r="Z289" s="1" t="s">
        <v>48</v>
      </c>
      <c r="AA289" s="1" t="s">
        <v>48</v>
      </c>
    </row>
    <row r="290" spans="1:27" s="1" customFormat="1" ht="18.5" x14ac:dyDescent="0.45">
      <c r="A290" s="1" t="s">
        <v>7895</v>
      </c>
      <c r="B290" s="1" t="s">
        <v>7896</v>
      </c>
      <c r="C290" s="1" t="s">
        <v>4273</v>
      </c>
      <c r="D290" s="1" t="s">
        <v>53</v>
      </c>
      <c r="E290" s="2">
        <v>2023</v>
      </c>
      <c r="F290" s="1" t="s">
        <v>7897</v>
      </c>
      <c r="G290" s="1" t="s">
        <v>7898</v>
      </c>
      <c r="H290" s="1" t="s">
        <v>7899</v>
      </c>
      <c r="I290" s="1">
        <v>47</v>
      </c>
      <c r="J290" s="1">
        <v>8</v>
      </c>
      <c r="K290" s="1">
        <v>2</v>
      </c>
      <c r="L290" s="1">
        <v>12</v>
      </c>
      <c r="M290" s="1" t="s">
        <v>4276</v>
      </c>
      <c r="N290" s="1" t="s">
        <v>4277</v>
      </c>
      <c r="O290" s="1" t="s">
        <v>4278</v>
      </c>
      <c r="P290" s="1" t="s">
        <v>4279</v>
      </c>
      <c r="Q290" s="1" t="s">
        <v>48</v>
      </c>
      <c r="R290" s="1">
        <v>11</v>
      </c>
      <c r="S290" s="1" t="s">
        <v>48</v>
      </c>
      <c r="T290" s="1" t="s">
        <v>7900</v>
      </c>
      <c r="U290" s="1" t="str">
        <f>HYPERLINK("http://dx.doi.org/10.1109/ACCESS.2023.3273298","http://dx.doi.org/10.1109/ACCESS.2023.3273298")</f>
        <v>http://dx.doi.org/10.1109/ACCESS.2023.3273298</v>
      </c>
      <c r="V290" s="1">
        <v>28</v>
      </c>
      <c r="W290" s="1" t="s">
        <v>4281</v>
      </c>
      <c r="X290" s="1" t="s">
        <v>67</v>
      </c>
      <c r="Y290" s="1" t="s">
        <v>4282</v>
      </c>
      <c r="Z290" s="1" t="s">
        <v>48</v>
      </c>
      <c r="AA290" s="1" t="s">
        <v>125</v>
      </c>
    </row>
    <row r="291" spans="1:27" s="1" customFormat="1" ht="18.5" x14ac:dyDescent="0.45">
      <c r="A291" s="1" t="s">
        <v>7925</v>
      </c>
      <c r="B291" s="1" t="s">
        <v>7926</v>
      </c>
      <c r="C291" s="1" t="s">
        <v>1273</v>
      </c>
      <c r="D291" s="1" t="s">
        <v>53</v>
      </c>
      <c r="E291" s="2">
        <v>2023</v>
      </c>
      <c r="F291" s="1" t="s">
        <v>7927</v>
      </c>
      <c r="G291" s="1" t="s">
        <v>7928</v>
      </c>
      <c r="H291" s="1" t="s">
        <v>7217</v>
      </c>
      <c r="I291" s="1">
        <v>87</v>
      </c>
      <c r="J291" s="1">
        <v>37</v>
      </c>
      <c r="K291" s="1">
        <v>6</v>
      </c>
      <c r="L291" s="1">
        <v>14</v>
      </c>
      <c r="M291" s="1" t="s">
        <v>215</v>
      </c>
      <c r="N291" s="1" t="s">
        <v>158</v>
      </c>
      <c r="O291" s="1" t="s">
        <v>216</v>
      </c>
      <c r="P291" s="1" t="s">
        <v>1276</v>
      </c>
      <c r="Q291" s="1" t="s">
        <v>1277</v>
      </c>
      <c r="R291" s="1">
        <v>126</v>
      </c>
      <c r="S291" s="1" t="s">
        <v>48</v>
      </c>
      <c r="T291" s="1" t="s">
        <v>7929</v>
      </c>
      <c r="U291" s="1" t="str">
        <f>HYPERLINK("http://dx.doi.org/10.1016/j.engappai.2023.106811","http://dx.doi.org/10.1016/j.engappai.2023.106811")</f>
        <v>http://dx.doi.org/10.1016/j.engappai.2023.106811</v>
      </c>
      <c r="V291" s="1">
        <v>14</v>
      </c>
      <c r="W291" s="1" t="s">
        <v>1281</v>
      </c>
      <c r="X291" s="1" t="s">
        <v>67</v>
      </c>
      <c r="Y291" s="1" t="s">
        <v>1282</v>
      </c>
      <c r="Z291" s="1" t="s">
        <v>48</v>
      </c>
      <c r="AA291" s="1" t="s">
        <v>48</v>
      </c>
    </row>
    <row r="292" spans="1:27" s="1" customFormat="1" ht="18.5" x14ac:dyDescent="0.45">
      <c r="A292" s="1" t="s">
        <v>8036</v>
      </c>
      <c r="B292" s="1" t="s">
        <v>8037</v>
      </c>
      <c r="C292" s="1" t="s">
        <v>1018</v>
      </c>
      <c r="D292" s="1" t="s">
        <v>53</v>
      </c>
      <c r="E292" s="2">
        <v>2023</v>
      </c>
      <c r="F292" s="1" t="s">
        <v>8038</v>
      </c>
      <c r="G292" s="1" t="s">
        <v>8039</v>
      </c>
      <c r="H292" s="1" t="s">
        <v>6617</v>
      </c>
      <c r="I292" s="1">
        <v>85</v>
      </c>
      <c r="J292" s="1">
        <v>16</v>
      </c>
      <c r="K292" s="1">
        <v>3</v>
      </c>
      <c r="L292" s="1">
        <v>21</v>
      </c>
      <c r="M292" s="1" t="s">
        <v>252</v>
      </c>
      <c r="N292" s="1" t="s">
        <v>253</v>
      </c>
      <c r="O292" s="1" t="s">
        <v>254</v>
      </c>
      <c r="P292" s="1" t="s">
        <v>1024</v>
      </c>
      <c r="Q292" s="1" t="s">
        <v>1025</v>
      </c>
      <c r="R292" s="1">
        <v>30</v>
      </c>
      <c r="S292" s="1">
        <v>6</v>
      </c>
      <c r="T292" s="1" t="s">
        <v>8040</v>
      </c>
      <c r="U292" s="1" t="str">
        <f>HYPERLINK("http://dx.doi.org/10.1007/s11356-022-23182-7","http://dx.doi.org/10.1007/s11356-022-23182-7")</f>
        <v>http://dx.doi.org/10.1007/s11356-022-23182-7</v>
      </c>
      <c r="V292" s="1">
        <v>16</v>
      </c>
      <c r="W292" s="1" t="s">
        <v>438</v>
      </c>
      <c r="X292" s="1" t="s">
        <v>67</v>
      </c>
      <c r="Y292" s="1" t="s">
        <v>439</v>
      </c>
      <c r="Z292" s="1">
        <v>36161560</v>
      </c>
      <c r="AA292" s="1" t="s">
        <v>48</v>
      </c>
    </row>
    <row r="293" spans="1:27" s="1" customFormat="1" ht="18.5" x14ac:dyDescent="0.45">
      <c r="A293" s="1" t="s">
        <v>8041</v>
      </c>
      <c r="B293" s="1" t="s">
        <v>8042</v>
      </c>
      <c r="C293" s="1" t="s">
        <v>8043</v>
      </c>
      <c r="D293" s="1" t="s">
        <v>53</v>
      </c>
      <c r="E293" s="2">
        <v>2023</v>
      </c>
      <c r="F293" s="1" t="s">
        <v>8044</v>
      </c>
      <c r="G293" s="1" t="s">
        <v>8045</v>
      </c>
      <c r="H293" s="1" t="s">
        <v>8046</v>
      </c>
      <c r="I293" s="1">
        <v>60</v>
      </c>
      <c r="J293" s="1">
        <v>4</v>
      </c>
      <c r="K293" s="1">
        <v>0</v>
      </c>
      <c r="L293" s="1">
        <v>7</v>
      </c>
      <c r="M293" s="1" t="s">
        <v>1523</v>
      </c>
      <c r="N293" s="1" t="s">
        <v>632</v>
      </c>
      <c r="O293" s="1" t="s">
        <v>1524</v>
      </c>
      <c r="P293" s="1" t="s">
        <v>8047</v>
      </c>
      <c r="Q293" s="1" t="s">
        <v>8048</v>
      </c>
      <c r="R293" s="1">
        <v>93</v>
      </c>
      <c r="S293" s="1">
        <v>4</v>
      </c>
      <c r="T293" s="1" t="s">
        <v>8049</v>
      </c>
      <c r="U293" s="1" t="str">
        <f>HYPERLINK("http://dx.doi.org/10.1038/s41390-022-02179-5","http://dx.doi.org/10.1038/s41390-022-02179-5")</f>
        <v>http://dx.doi.org/10.1038/s41390-022-02179-5</v>
      </c>
      <c r="V293" s="1">
        <v>11</v>
      </c>
      <c r="W293" s="1" t="s">
        <v>8050</v>
      </c>
      <c r="X293" s="1" t="s">
        <v>67</v>
      </c>
      <c r="Y293" s="1" t="s">
        <v>8050</v>
      </c>
      <c r="Z293" s="1">
        <v>35794251</v>
      </c>
      <c r="AA293" s="1" t="s">
        <v>48</v>
      </c>
    </row>
    <row r="294" spans="1:27" s="1" customFormat="1" ht="18.5" x14ac:dyDescent="0.45">
      <c r="A294" s="1" t="s">
        <v>8132</v>
      </c>
      <c r="B294" s="1" t="s">
        <v>8133</v>
      </c>
      <c r="C294" s="1" t="s">
        <v>8134</v>
      </c>
      <c r="D294" s="1" t="s">
        <v>53</v>
      </c>
      <c r="E294" s="2">
        <v>2023</v>
      </c>
      <c r="F294" s="1" t="s">
        <v>8135</v>
      </c>
      <c r="G294" s="1" t="s">
        <v>8136</v>
      </c>
      <c r="H294" s="1" t="s">
        <v>8137</v>
      </c>
      <c r="I294" s="1">
        <v>62</v>
      </c>
      <c r="J294" s="1">
        <v>4</v>
      </c>
      <c r="K294" s="1">
        <v>2</v>
      </c>
      <c r="L294" s="1">
        <v>4</v>
      </c>
      <c r="M294" s="1" t="s">
        <v>421</v>
      </c>
      <c r="N294" s="1" t="s">
        <v>422</v>
      </c>
      <c r="O294" s="1" t="s">
        <v>423</v>
      </c>
      <c r="P294" s="1" t="s">
        <v>48</v>
      </c>
      <c r="Q294" s="1" t="s">
        <v>8138</v>
      </c>
      <c r="R294" s="1">
        <v>11</v>
      </c>
      <c r="S294" s="1" t="s">
        <v>48</v>
      </c>
      <c r="T294" s="1" t="s">
        <v>8139</v>
      </c>
      <c r="U294" s="1" t="str">
        <f>HYPERLINK("http://dx.doi.org/10.3389/fenvs.2023.1280268","http://dx.doi.org/10.3389/fenvs.2023.1280268")</f>
        <v>http://dx.doi.org/10.3389/fenvs.2023.1280268</v>
      </c>
      <c r="V294" s="1">
        <v>17</v>
      </c>
      <c r="W294" s="1" t="s">
        <v>438</v>
      </c>
      <c r="X294" s="1" t="s">
        <v>67</v>
      </c>
      <c r="Y294" s="1" t="s">
        <v>439</v>
      </c>
      <c r="Z294" s="1" t="s">
        <v>48</v>
      </c>
      <c r="AA294" s="1" t="s">
        <v>125</v>
      </c>
    </row>
    <row r="295" spans="1:27" s="1" customFormat="1" ht="18.5" x14ac:dyDescent="0.45">
      <c r="A295" s="1" t="s">
        <v>8149</v>
      </c>
      <c r="B295" s="1" t="s">
        <v>8150</v>
      </c>
      <c r="C295" s="1" t="s">
        <v>5972</v>
      </c>
      <c r="D295" s="1" t="s">
        <v>53</v>
      </c>
      <c r="E295" s="2">
        <v>2023</v>
      </c>
      <c r="F295" s="1" t="s">
        <v>8151</v>
      </c>
      <c r="G295" s="1" t="s">
        <v>8152</v>
      </c>
      <c r="H295" s="1" t="s">
        <v>8153</v>
      </c>
      <c r="I295" s="1">
        <v>57</v>
      </c>
      <c r="J295" s="1">
        <v>6</v>
      </c>
      <c r="K295" s="1">
        <v>4</v>
      </c>
      <c r="L295" s="1">
        <v>12</v>
      </c>
      <c r="M295" s="1" t="s">
        <v>132</v>
      </c>
      <c r="N295" s="1" t="s">
        <v>133</v>
      </c>
      <c r="O295" s="1" t="s">
        <v>134</v>
      </c>
      <c r="P295" s="1" t="s">
        <v>48</v>
      </c>
      <c r="Q295" s="1" t="s">
        <v>5975</v>
      </c>
      <c r="R295" s="1">
        <v>15</v>
      </c>
      <c r="S295" s="1">
        <v>3</v>
      </c>
      <c r="T295" s="1" t="s">
        <v>8154</v>
      </c>
      <c r="U295" s="1" t="str">
        <f>HYPERLINK("http://dx.doi.org/10.3390/su15031825","http://dx.doi.org/10.3390/su15031825")</f>
        <v>http://dx.doi.org/10.3390/su15031825</v>
      </c>
      <c r="V295" s="1">
        <v>28</v>
      </c>
      <c r="W295" s="1" t="s">
        <v>5977</v>
      </c>
      <c r="X295" s="1" t="s">
        <v>944</v>
      </c>
      <c r="Y295" s="1" t="s">
        <v>723</v>
      </c>
      <c r="Z295" s="1" t="s">
        <v>48</v>
      </c>
      <c r="AA295" s="1" t="s">
        <v>125</v>
      </c>
    </row>
    <row r="296" spans="1:27" s="1" customFormat="1" ht="18.5" x14ac:dyDescent="0.45">
      <c r="A296" s="1" t="s">
        <v>8165</v>
      </c>
      <c r="B296" s="1" t="s">
        <v>8166</v>
      </c>
      <c r="C296" s="1" t="s">
        <v>2234</v>
      </c>
      <c r="D296" s="1" t="s">
        <v>53</v>
      </c>
      <c r="E296" s="2">
        <v>2023</v>
      </c>
      <c r="F296" s="1" t="s">
        <v>8167</v>
      </c>
      <c r="G296" s="1" t="s">
        <v>8168</v>
      </c>
      <c r="H296" s="1" t="s">
        <v>8169</v>
      </c>
      <c r="I296" s="1">
        <v>58</v>
      </c>
      <c r="J296" s="1">
        <v>34</v>
      </c>
      <c r="K296" s="1">
        <v>3</v>
      </c>
      <c r="L296" s="1">
        <v>13</v>
      </c>
      <c r="M296" s="1" t="s">
        <v>1242</v>
      </c>
      <c r="N296" s="1" t="s">
        <v>1243</v>
      </c>
      <c r="O296" s="1" t="s">
        <v>1244</v>
      </c>
      <c r="P296" s="1" t="s">
        <v>2239</v>
      </c>
      <c r="Q296" s="1" t="s">
        <v>2240</v>
      </c>
      <c r="R296" s="1">
        <v>30</v>
      </c>
      <c r="S296" s="1">
        <v>3</v>
      </c>
      <c r="T296" s="1" t="s">
        <v>8170</v>
      </c>
      <c r="U296" s="1" t="str">
        <f>HYPERLINK("http://dx.doi.org/10.1080/13504509.2022.2139780","http://dx.doi.org/10.1080/13504509.2022.2139780")</f>
        <v>http://dx.doi.org/10.1080/13504509.2022.2139780</v>
      </c>
      <c r="V296" s="1">
        <v>16</v>
      </c>
      <c r="W296" s="1" t="s">
        <v>2242</v>
      </c>
      <c r="X296" s="1" t="s">
        <v>67</v>
      </c>
      <c r="Y296" s="1" t="s">
        <v>723</v>
      </c>
      <c r="Z296" s="1" t="s">
        <v>48</v>
      </c>
      <c r="AA296" s="1" t="s">
        <v>48</v>
      </c>
    </row>
    <row r="297" spans="1:27" s="1" customFormat="1" ht="18.5" x14ac:dyDescent="0.45">
      <c r="A297" s="1" t="s">
        <v>8171</v>
      </c>
      <c r="B297" s="1" t="s">
        <v>8172</v>
      </c>
      <c r="C297" s="1" t="s">
        <v>404</v>
      </c>
      <c r="D297" s="1" t="s">
        <v>53</v>
      </c>
      <c r="E297" s="2">
        <v>2023</v>
      </c>
      <c r="F297" s="1" t="s">
        <v>8173</v>
      </c>
      <c r="G297" s="1" t="s">
        <v>8174</v>
      </c>
      <c r="H297" s="1" t="s">
        <v>8175</v>
      </c>
      <c r="I297" s="1">
        <v>57</v>
      </c>
      <c r="J297" s="1">
        <v>1</v>
      </c>
      <c r="K297" s="1">
        <v>0</v>
      </c>
      <c r="L297" s="1">
        <v>0</v>
      </c>
      <c r="M297" s="1" t="s">
        <v>410</v>
      </c>
      <c r="N297" s="1" t="s">
        <v>411</v>
      </c>
      <c r="O297" s="1" t="s">
        <v>412</v>
      </c>
      <c r="P297" s="1" t="s">
        <v>413</v>
      </c>
      <c r="Q297" s="1" t="s">
        <v>48</v>
      </c>
      <c r="R297" s="1">
        <v>13</v>
      </c>
      <c r="S297" s="1">
        <v>1</v>
      </c>
      <c r="T297" s="1" t="s">
        <v>8176</v>
      </c>
      <c r="U297" s="1" t="str">
        <f>HYPERLINK("http://dx.doi.org/10.1038/s41598-023-41668-3","http://dx.doi.org/10.1038/s41598-023-41668-3")</f>
        <v>http://dx.doi.org/10.1038/s41598-023-41668-3</v>
      </c>
      <c r="V297" s="1">
        <v>12</v>
      </c>
      <c r="W297" s="1" t="s">
        <v>335</v>
      </c>
      <c r="X297" s="1" t="s">
        <v>67</v>
      </c>
      <c r="Y297" s="1" t="s">
        <v>336</v>
      </c>
      <c r="Z297" s="1">
        <v>37684270</v>
      </c>
      <c r="AA297" s="1" t="s">
        <v>7888</v>
      </c>
    </row>
    <row r="298" spans="1:27" s="1" customFormat="1" ht="18.5" x14ac:dyDescent="0.45">
      <c r="A298" s="1" t="s">
        <v>8232</v>
      </c>
      <c r="B298" s="1" t="s">
        <v>8233</v>
      </c>
      <c r="C298" s="1" t="s">
        <v>8234</v>
      </c>
      <c r="D298" s="1" t="s">
        <v>53</v>
      </c>
      <c r="E298" s="2">
        <v>2023</v>
      </c>
      <c r="F298" s="1" t="s">
        <v>8235</v>
      </c>
      <c r="G298" s="1" t="s">
        <v>8236</v>
      </c>
      <c r="H298" s="1" t="s">
        <v>8237</v>
      </c>
      <c r="I298" s="1">
        <v>71</v>
      </c>
      <c r="J298" s="1">
        <v>6</v>
      </c>
      <c r="K298" s="1">
        <v>0</v>
      </c>
      <c r="L298" s="1">
        <v>12</v>
      </c>
      <c r="M298" s="1" t="s">
        <v>79</v>
      </c>
      <c r="N298" s="1" t="s">
        <v>80</v>
      </c>
      <c r="O298" s="1" t="s">
        <v>81</v>
      </c>
      <c r="P298" s="1" t="s">
        <v>8238</v>
      </c>
      <c r="Q298" s="1" t="s">
        <v>48</v>
      </c>
      <c r="R298" s="1">
        <v>53</v>
      </c>
      <c r="S298" s="1" t="s">
        <v>48</v>
      </c>
      <c r="T298" s="1" t="s">
        <v>8239</v>
      </c>
      <c r="U298" s="1" t="str">
        <f>HYPERLINK("http://dx.doi.org/10.1016/j.jwpe.2023.103731","http://dx.doi.org/10.1016/j.jwpe.2023.103731")</f>
        <v>http://dx.doi.org/10.1016/j.jwpe.2023.103731</v>
      </c>
      <c r="V298" s="1">
        <v>18</v>
      </c>
      <c r="W298" s="1" t="s">
        <v>8240</v>
      </c>
      <c r="X298" s="1" t="s">
        <v>67</v>
      </c>
      <c r="Y298" s="1" t="s">
        <v>8241</v>
      </c>
      <c r="Z298" s="1" t="s">
        <v>48</v>
      </c>
      <c r="AA298" s="1" t="s">
        <v>48</v>
      </c>
    </row>
    <row r="299" spans="1:27" s="1" customFormat="1" ht="18.5" x14ac:dyDescent="0.45">
      <c r="A299" s="1" t="s">
        <v>8256</v>
      </c>
      <c r="B299" s="1" t="s">
        <v>8257</v>
      </c>
      <c r="C299" s="1" t="s">
        <v>8258</v>
      </c>
      <c r="D299" s="1" t="s">
        <v>53</v>
      </c>
      <c r="E299" s="2">
        <v>2023</v>
      </c>
      <c r="F299" s="1" t="s">
        <v>8259</v>
      </c>
      <c r="G299" s="1" t="s">
        <v>8260</v>
      </c>
      <c r="H299" s="1" t="s">
        <v>8261</v>
      </c>
      <c r="I299" s="1">
        <v>46</v>
      </c>
      <c r="J299" s="1">
        <v>18</v>
      </c>
      <c r="K299" s="1">
        <v>8</v>
      </c>
      <c r="L299" s="1">
        <v>27</v>
      </c>
      <c r="M299" s="1" t="s">
        <v>503</v>
      </c>
      <c r="N299" s="1" t="s">
        <v>542</v>
      </c>
      <c r="O299" s="1" t="s">
        <v>543</v>
      </c>
      <c r="P299" s="1" t="s">
        <v>8262</v>
      </c>
      <c r="Q299" s="1" t="s">
        <v>8263</v>
      </c>
      <c r="R299" s="1">
        <v>37</v>
      </c>
      <c r="S299" s="1">
        <v>9</v>
      </c>
      <c r="T299" s="1" t="s">
        <v>8264</v>
      </c>
      <c r="U299" s="1" t="str">
        <f>HYPERLINK("http://dx.doi.org/10.1007/s11269-023-03522-z","http://dx.doi.org/10.1007/s11269-023-03522-z")</f>
        <v>http://dx.doi.org/10.1007/s11269-023-03522-z</v>
      </c>
      <c r="V299" s="1">
        <v>16</v>
      </c>
      <c r="W299" s="1" t="s">
        <v>8265</v>
      </c>
      <c r="X299" s="1" t="s">
        <v>67</v>
      </c>
      <c r="Y299" s="1" t="s">
        <v>8241</v>
      </c>
      <c r="Z299" s="1" t="s">
        <v>48</v>
      </c>
      <c r="AA299" s="1" t="s">
        <v>2074</v>
      </c>
    </row>
    <row r="300" spans="1:27" s="1" customFormat="1" ht="18.5" x14ac:dyDescent="0.45">
      <c r="A300" s="1" t="s">
        <v>8299</v>
      </c>
      <c r="B300" s="1" t="s">
        <v>8300</v>
      </c>
      <c r="C300" s="1" t="s">
        <v>8301</v>
      </c>
      <c r="D300" s="1" t="s">
        <v>53</v>
      </c>
      <c r="E300" s="2">
        <v>2023</v>
      </c>
      <c r="F300" s="1" t="s">
        <v>8302</v>
      </c>
      <c r="G300" s="1" t="s">
        <v>8303</v>
      </c>
      <c r="H300" s="1" t="s">
        <v>8304</v>
      </c>
      <c r="I300" s="1">
        <v>80</v>
      </c>
      <c r="J300" s="1">
        <v>13</v>
      </c>
      <c r="K300" s="1">
        <v>15</v>
      </c>
      <c r="L300" s="1">
        <v>43</v>
      </c>
      <c r="M300" s="1" t="s">
        <v>410</v>
      </c>
      <c r="N300" s="1" t="s">
        <v>411</v>
      </c>
      <c r="O300" s="1" t="s">
        <v>412</v>
      </c>
      <c r="P300" s="1" t="s">
        <v>48</v>
      </c>
      <c r="Q300" s="1" t="s">
        <v>8305</v>
      </c>
      <c r="R300" s="1">
        <v>6</v>
      </c>
      <c r="S300" s="1">
        <v>1</v>
      </c>
      <c r="T300" s="1" t="s">
        <v>8308</v>
      </c>
      <c r="U300" s="1" t="str">
        <f>HYPERLINK("http://dx.doi.org/10.1038/s42003-023-05023-6","http://dx.doi.org/10.1038/s42003-023-05023-6")</f>
        <v>http://dx.doi.org/10.1038/s42003-023-05023-6</v>
      </c>
      <c r="V300" s="1">
        <v>14</v>
      </c>
      <c r="W300" s="1" t="s">
        <v>8309</v>
      </c>
      <c r="X300" s="1" t="s">
        <v>67</v>
      </c>
      <c r="Y300" s="1" t="s">
        <v>8310</v>
      </c>
      <c r="Z300" s="1">
        <v>37328528</v>
      </c>
      <c r="AA300" s="1" t="s">
        <v>337</v>
      </c>
    </row>
    <row r="301" spans="1:27" s="1" customFormat="1" ht="18.5" x14ac:dyDescent="0.45">
      <c r="A301" s="1" t="s">
        <v>8311</v>
      </c>
      <c r="B301" s="1" t="s">
        <v>8312</v>
      </c>
      <c r="C301" s="1" t="s">
        <v>5972</v>
      </c>
      <c r="D301" s="1" t="s">
        <v>53</v>
      </c>
      <c r="E301" s="2">
        <v>2023</v>
      </c>
      <c r="F301" s="1" t="s">
        <v>8313</v>
      </c>
      <c r="G301" s="1" t="s">
        <v>8314</v>
      </c>
      <c r="H301" s="1" t="s">
        <v>8315</v>
      </c>
      <c r="I301" s="1">
        <v>50</v>
      </c>
      <c r="J301" s="1">
        <v>6</v>
      </c>
      <c r="K301" s="1">
        <v>4</v>
      </c>
      <c r="L301" s="1">
        <v>18</v>
      </c>
      <c r="M301" s="1" t="s">
        <v>132</v>
      </c>
      <c r="N301" s="1" t="s">
        <v>133</v>
      </c>
      <c r="O301" s="1" t="s">
        <v>134</v>
      </c>
      <c r="P301" s="1" t="s">
        <v>48</v>
      </c>
      <c r="Q301" s="1" t="s">
        <v>5975</v>
      </c>
      <c r="R301" s="1">
        <v>15</v>
      </c>
      <c r="S301" s="1">
        <v>14</v>
      </c>
      <c r="T301" s="1" t="s">
        <v>8316</v>
      </c>
      <c r="U301" s="1" t="str">
        <f>HYPERLINK("http://dx.doi.org/10.3390/su151411413","http://dx.doi.org/10.3390/su151411413")</f>
        <v>http://dx.doi.org/10.3390/su151411413</v>
      </c>
      <c r="V301" s="1">
        <v>17</v>
      </c>
      <c r="W301" s="1" t="s">
        <v>5977</v>
      </c>
      <c r="X301" s="1" t="s">
        <v>944</v>
      </c>
      <c r="Y301" s="1" t="s">
        <v>723</v>
      </c>
      <c r="Z301" s="1" t="s">
        <v>48</v>
      </c>
      <c r="AA301" s="1" t="s">
        <v>125</v>
      </c>
    </row>
    <row r="302" spans="1:27" s="1" customFormat="1" ht="18.5" x14ac:dyDescent="0.45">
      <c r="A302" s="1" t="s">
        <v>8317</v>
      </c>
      <c r="B302" s="1" t="s">
        <v>8318</v>
      </c>
      <c r="C302" s="1" t="s">
        <v>1018</v>
      </c>
      <c r="D302" s="1" t="s">
        <v>53</v>
      </c>
      <c r="E302" s="2">
        <v>2023</v>
      </c>
      <c r="F302" s="1" t="s">
        <v>8319</v>
      </c>
      <c r="G302" s="1" t="s">
        <v>8320</v>
      </c>
      <c r="H302" s="1" t="s">
        <v>7853</v>
      </c>
      <c r="I302" s="1">
        <v>84</v>
      </c>
      <c r="J302" s="1">
        <v>7</v>
      </c>
      <c r="K302" s="1">
        <v>2</v>
      </c>
      <c r="L302" s="1">
        <v>13</v>
      </c>
      <c r="M302" s="1" t="s">
        <v>252</v>
      </c>
      <c r="N302" s="1" t="s">
        <v>253</v>
      </c>
      <c r="O302" s="1" t="s">
        <v>254</v>
      </c>
      <c r="P302" s="1" t="s">
        <v>1024</v>
      </c>
      <c r="Q302" s="1" t="s">
        <v>1025</v>
      </c>
      <c r="R302" s="1">
        <v>30</v>
      </c>
      <c r="S302" s="1">
        <v>11</v>
      </c>
      <c r="T302" s="1" t="s">
        <v>8321</v>
      </c>
      <c r="U302" s="1" t="str">
        <f>HYPERLINK("http://dx.doi.org/10.1007/s11356-022-24153-8","http://dx.doi.org/10.1007/s11356-022-24153-8")</f>
        <v>http://dx.doi.org/10.1007/s11356-022-24153-8</v>
      </c>
      <c r="V302" s="1">
        <v>51</v>
      </c>
      <c r="W302" s="1" t="s">
        <v>438</v>
      </c>
      <c r="X302" s="1" t="s">
        <v>67</v>
      </c>
      <c r="Y302" s="1" t="s">
        <v>439</v>
      </c>
      <c r="Z302" s="1">
        <v>36441299</v>
      </c>
      <c r="AA302" s="1" t="s">
        <v>48</v>
      </c>
    </row>
    <row r="303" spans="1:27" s="1" customFormat="1" ht="18.5" x14ac:dyDescent="0.45">
      <c r="A303" s="1" t="s">
        <v>8356</v>
      </c>
      <c r="B303" s="1" t="s">
        <v>8357</v>
      </c>
      <c r="C303" s="1" t="s">
        <v>6169</v>
      </c>
      <c r="D303" s="1" t="s">
        <v>53</v>
      </c>
      <c r="E303" s="2">
        <v>2023</v>
      </c>
      <c r="F303" s="1" t="s">
        <v>8358</v>
      </c>
      <c r="G303" s="1" t="s">
        <v>8359</v>
      </c>
      <c r="H303" s="1" t="s">
        <v>8360</v>
      </c>
      <c r="I303" s="1">
        <v>71</v>
      </c>
      <c r="J303" s="1">
        <v>34</v>
      </c>
      <c r="K303" s="1">
        <v>9</v>
      </c>
      <c r="L303" s="1">
        <v>36</v>
      </c>
      <c r="M303" s="1" t="s">
        <v>79</v>
      </c>
      <c r="N303" s="1" t="s">
        <v>80</v>
      </c>
      <c r="O303" s="1" t="s">
        <v>81</v>
      </c>
      <c r="P303" s="1" t="s">
        <v>6172</v>
      </c>
      <c r="Q303" s="1" t="s">
        <v>6173</v>
      </c>
      <c r="R303" s="1">
        <v>624</v>
      </c>
      <c r="S303" s="1" t="s">
        <v>48</v>
      </c>
      <c r="T303" s="1" t="s">
        <v>8361</v>
      </c>
      <c r="U303" s="1" t="str">
        <f>HYPERLINK("http://dx.doi.org/10.1016/j.jhydrol.2023.129940","http://dx.doi.org/10.1016/j.jhydrol.2023.129940")</f>
        <v>http://dx.doi.org/10.1016/j.jhydrol.2023.129940</v>
      </c>
      <c r="V303" s="1">
        <v>14</v>
      </c>
      <c r="W303" s="1" t="s">
        <v>6175</v>
      </c>
      <c r="X303" s="1" t="s">
        <v>67</v>
      </c>
      <c r="Y303" s="1" t="s">
        <v>6176</v>
      </c>
      <c r="Z303" s="1" t="s">
        <v>48</v>
      </c>
      <c r="AA303" s="1" t="s">
        <v>48</v>
      </c>
    </row>
    <row r="304" spans="1:27" s="1" customFormat="1" ht="18.5" x14ac:dyDescent="0.45">
      <c r="A304" s="1" t="s">
        <v>8382</v>
      </c>
      <c r="B304" s="1" t="s">
        <v>8383</v>
      </c>
      <c r="C304" s="1" t="s">
        <v>8384</v>
      </c>
      <c r="D304" s="1" t="s">
        <v>53</v>
      </c>
      <c r="E304" s="2">
        <v>2023</v>
      </c>
      <c r="F304" s="1" t="s">
        <v>8385</v>
      </c>
      <c r="G304" s="1" t="s">
        <v>8386</v>
      </c>
      <c r="H304" s="1" t="s">
        <v>8387</v>
      </c>
      <c r="I304" s="1">
        <v>131</v>
      </c>
      <c r="J304" s="1">
        <v>11</v>
      </c>
      <c r="K304" s="1">
        <v>5</v>
      </c>
      <c r="L304" s="1">
        <v>11</v>
      </c>
      <c r="M304" s="1" t="s">
        <v>1523</v>
      </c>
      <c r="N304" s="1" t="s">
        <v>632</v>
      </c>
      <c r="O304" s="1" t="s">
        <v>1524</v>
      </c>
      <c r="P304" s="1" t="s">
        <v>48</v>
      </c>
      <c r="Q304" s="1" t="s">
        <v>8388</v>
      </c>
      <c r="R304" s="1">
        <v>3</v>
      </c>
      <c r="S304" s="1">
        <v>1</v>
      </c>
      <c r="T304" s="1" t="s">
        <v>8389</v>
      </c>
      <c r="U304" s="1" t="str">
        <f>HYPERLINK("http://dx.doi.org/10.1007/s43762-023-00101-1","http://dx.doi.org/10.1007/s43762-023-00101-1")</f>
        <v>http://dx.doi.org/10.1007/s43762-023-00101-1</v>
      </c>
      <c r="V304" s="1">
        <v>31</v>
      </c>
      <c r="W304" s="1" t="s">
        <v>8390</v>
      </c>
      <c r="X304" s="1" t="s">
        <v>124</v>
      </c>
      <c r="Y304" s="1" t="s">
        <v>8391</v>
      </c>
      <c r="Z304" s="1" t="s">
        <v>48</v>
      </c>
      <c r="AA304" s="1" t="s">
        <v>125</v>
      </c>
    </row>
    <row r="305" spans="1:27" s="1" customFormat="1" ht="18.5" x14ac:dyDescent="0.45">
      <c r="A305" s="1" t="s">
        <v>8404</v>
      </c>
      <c r="B305" s="1" t="s">
        <v>8405</v>
      </c>
      <c r="C305" s="1" t="s">
        <v>404</v>
      </c>
      <c r="D305" s="1" t="s">
        <v>53</v>
      </c>
      <c r="E305" s="2">
        <v>2023</v>
      </c>
      <c r="F305" s="1" t="s">
        <v>8406</v>
      </c>
      <c r="G305" s="1" t="s">
        <v>8407</v>
      </c>
      <c r="H305" s="1" t="s">
        <v>8408</v>
      </c>
      <c r="I305" s="1">
        <v>63</v>
      </c>
      <c r="J305" s="1">
        <v>16</v>
      </c>
      <c r="K305" s="1">
        <v>8</v>
      </c>
      <c r="L305" s="1">
        <v>27</v>
      </c>
      <c r="M305" s="1" t="s">
        <v>410</v>
      </c>
      <c r="N305" s="1" t="s">
        <v>411</v>
      </c>
      <c r="O305" s="1" t="s">
        <v>412</v>
      </c>
      <c r="P305" s="1" t="s">
        <v>413</v>
      </c>
      <c r="Q305" s="1" t="s">
        <v>48</v>
      </c>
      <c r="R305" s="1">
        <v>13</v>
      </c>
      <c r="S305" s="1">
        <v>1</v>
      </c>
      <c r="T305" s="1" t="s">
        <v>8409</v>
      </c>
      <c r="U305" s="1" t="str">
        <f>HYPERLINK("http://dx.doi.org/10.1038/s41598-023-34774-9","http://dx.doi.org/10.1038/s41598-023-34774-9")</f>
        <v>http://dx.doi.org/10.1038/s41598-023-34774-9</v>
      </c>
      <c r="V305" s="1">
        <v>19</v>
      </c>
      <c r="W305" s="1" t="s">
        <v>335</v>
      </c>
      <c r="X305" s="1" t="s">
        <v>67</v>
      </c>
      <c r="Y305" s="1" t="s">
        <v>336</v>
      </c>
      <c r="Z305" s="1">
        <v>37198391</v>
      </c>
      <c r="AA305" s="1" t="s">
        <v>366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3"/>
  <sheetViews>
    <sheetView topLeftCell="M1" workbookViewId="0">
      <pane ySplit="1" topLeftCell="A2" activePane="bottomLeft" state="frozen"/>
      <selection pane="bottomLeft" activeCell="A16" sqref="A1:AE363"/>
    </sheetView>
  </sheetViews>
  <sheetFormatPr defaultRowHeight="12.5" x14ac:dyDescent="0.25"/>
  <sheetData>
    <row r="1" spans="1:31" s="1" customFormat="1" ht="18.5" x14ac:dyDescent="0.45">
      <c r="A1" s="1" t="s">
        <v>0</v>
      </c>
      <c r="B1" s="1" t="s">
        <v>1</v>
      </c>
      <c r="C1" s="1" t="s">
        <v>2</v>
      </c>
      <c r="D1" s="1" t="s">
        <v>3</v>
      </c>
      <c r="E1" s="1" t="s">
        <v>5</v>
      </c>
      <c r="F1" s="1" t="s">
        <v>6</v>
      </c>
      <c r="G1" s="1" t="s">
        <v>7</v>
      </c>
      <c r="H1" s="1" t="s">
        <v>8</v>
      </c>
      <c r="I1" s="3" t="s">
        <v>24</v>
      </c>
      <c r="J1" s="1" t="s">
        <v>9</v>
      </c>
      <c r="K1" s="1" t="s">
        <v>10</v>
      </c>
      <c r="L1" s="1" t="s">
        <v>11</v>
      </c>
      <c r="M1" s="1" t="s">
        <v>12</v>
      </c>
      <c r="N1" s="1" t="s">
        <v>10609</v>
      </c>
      <c r="O1" s="1" t="s">
        <v>13</v>
      </c>
      <c r="P1" s="1" t="s">
        <v>14</v>
      </c>
      <c r="Q1" s="1" t="s">
        <v>15</v>
      </c>
      <c r="R1" s="1" t="s">
        <v>16</v>
      </c>
      <c r="S1" s="1" t="s">
        <v>17</v>
      </c>
      <c r="T1" s="1" t="s">
        <v>18</v>
      </c>
      <c r="U1" s="1" t="s">
        <v>19</v>
      </c>
      <c r="V1" s="1" t="s">
        <v>25</v>
      </c>
      <c r="W1" s="1" t="s">
        <v>26</v>
      </c>
      <c r="X1" s="1" t="s">
        <v>34</v>
      </c>
      <c r="Y1" s="1" t="s">
        <v>35</v>
      </c>
      <c r="Z1" s="1" t="s">
        <v>38</v>
      </c>
      <c r="AA1" s="1" t="s">
        <v>39</v>
      </c>
      <c r="AB1" s="1" t="s">
        <v>40</v>
      </c>
      <c r="AC1" s="1" t="s">
        <v>41</v>
      </c>
      <c r="AD1" s="1" t="s">
        <v>42</v>
      </c>
      <c r="AE1" s="1" t="s">
        <v>43</v>
      </c>
    </row>
    <row r="2" spans="1:31" s="1" customFormat="1" ht="18.5" x14ac:dyDescent="0.45">
      <c r="A2" s="1" t="s">
        <v>47</v>
      </c>
      <c r="B2" s="1" t="s">
        <v>49</v>
      </c>
      <c r="C2" s="1" t="s">
        <v>50</v>
      </c>
      <c r="D2" s="1" t="s">
        <v>51</v>
      </c>
      <c r="E2" s="1" t="s">
        <v>53</v>
      </c>
      <c r="F2" s="1" t="s">
        <v>54</v>
      </c>
      <c r="G2" s="1" t="s">
        <v>55</v>
      </c>
      <c r="H2" s="1" t="s">
        <v>56</v>
      </c>
      <c r="I2" s="2">
        <v>2024</v>
      </c>
      <c r="J2" s="1" t="s">
        <v>57</v>
      </c>
      <c r="K2" s="1" t="s">
        <v>58</v>
      </c>
      <c r="L2" s="1" t="s">
        <v>59</v>
      </c>
      <c r="M2" s="1">
        <v>93</v>
      </c>
      <c r="N2" s="1">
        <v>0</v>
      </c>
      <c r="O2" s="1">
        <v>4</v>
      </c>
      <c r="P2" s="1">
        <v>4</v>
      </c>
      <c r="Q2" s="1" t="s">
        <v>60</v>
      </c>
      <c r="R2" s="1" t="s">
        <v>61</v>
      </c>
      <c r="S2" s="1" t="s">
        <v>62</v>
      </c>
      <c r="T2" s="1" t="s">
        <v>63</v>
      </c>
      <c r="U2" s="1" t="s">
        <v>64</v>
      </c>
      <c r="V2" s="1">
        <v>74</v>
      </c>
      <c r="W2" s="1">
        <v>11</v>
      </c>
      <c r="X2" s="1" t="s">
        <v>65</v>
      </c>
      <c r="Y2" s="1" t="str">
        <f>HYPERLINK("http://dx.doi.org/10.1016/j.asr.2024.08.002","http://dx.doi.org/10.1016/j.asr.2024.08.002")</f>
        <v>http://dx.doi.org/10.1016/j.asr.2024.08.002</v>
      </c>
      <c r="Z2" s="1">
        <v>29</v>
      </c>
      <c r="AA2" s="1" t="s">
        <v>66</v>
      </c>
      <c r="AB2" s="1" t="s">
        <v>67</v>
      </c>
      <c r="AC2" s="1" t="s">
        <v>68</v>
      </c>
      <c r="AD2" s="1" t="s">
        <v>48</v>
      </c>
      <c r="AE2" s="1" t="s">
        <v>48</v>
      </c>
    </row>
    <row r="3" spans="1:31" s="1" customFormat="1" ht="18.5" x14ac:dyDescent="0.45">
      <c r="A3" s="1" t="s">
        <v>69</v>
      </c>
      <c r="B3" s="1" t="s">
        <v>70</v>
      </c>
      <c r="C3" s="1" t="s">
        <v>71</v>
      </c>
      <c r="D3" s="1" t="s">
        <v>72</v>
      </c>
      <c r="E3" s="1" t="s">
        <v>53</v>
      </c>
      <c r="F3" s="1" t="s">
        <v>73</v>
      </c>
      <c r="G3" s="1" t="s">
        <v>74</v>
      </c>
      <c r="H3" s="1" t="s">
        <v>75</v>
      </c>
      <c r="I3" s="2">
        <v>2024</v>
      </c>
      <c r="J3" s="1" t="s">
        <v>76</v>
      </c>
      <c r="K3" s="1" t="s">
        <v>77</v>
      </c>
      <c r="L3" s="1" t="s">
        <v>78</v>
      </c>
      <c r="M3" s="1">
        <v>58</v>
      </c>
      <c r="N3" s="1">
        <v>2</v>
      </c>
      <c r="O3" s="1">
        <v>5</v>
      </c>
      <c r="P3" s="1">
        <v>5</v>
      </c>
      <c r="Q3" s="1" t="s">
        <v>79</v>
      </c>
      <c r="R3" s="1" t="s">
        <v>80</v>
      </c>
      <c r="S3" s="1" t="s">
        <v>81</v>
      </c>
      <c r="T3" s="1" t="s">
        <v>82</v>
      </c>
      <c r="U3" s="1" t="s">
        <v>83</v>
      </c>
      <c r="V3" s="1">
        <v>282</v>
      </c>
      <c r="W3" s="1" t="s">
        <v>48</v>
      </c>
      <c r="X3" s="1" t="s">
        <v>87</v>
      </c>
      <c r="Y3" s="1" t="str">
        <f>HYPERLINK("http://dx.doi.org/10.1016/j.ijbiomac.2024.136795","http://dx.doi.org/10.1016/j.ijbiomac.2024.136795")</f>
        <v>http://dx.doi.org/10.1016/j.ijbiomac.2024.136795</v>
      </c>
      <c r="Z3" s="1">
        <v>14</v>
      </c>
      <c r="AA3" s="1" t="s">
        <v>88</v>
      </c>
      <c r="AB3" s="1" t="s">
        <v>67</v>
      </c>
      <c r="AC3" s="1" t="s">
        <v>89</v>
      </c>
      <c r="AD3" s="1">
        <v>39442839</v>
      </c>
      <c r="AE3" s="1" t="s">
        <v>48</v>
      </c>
    </row>
    <row r="4" spans="1:31" s="1" customFormat="1" ht="18.5" x14ac:dyDescent="0.45">
      <c r="A4" s="1" t="s">
        <v>90</v>
      </c>
      <c r="B4" s="1" t="s">
        <v>91</v>
      </c>
      <c r="C4" s="1" t="s">
        <v>92</v>
      </c>
      <c r="D4" s="1" t="s">
        <v>93</v>
      </c>
      <c r="E4" s="1" t="s">
        <v>94</v>
      </c>
      <c r="F4" s="1" t="s">
        <v>48</v>
      </c>
      <c r="G4" s="1" t="s">
        <v>48</v>
      </c>
      <c r="H4" s="1" t="s">
        <v>95</v>
      </c>
      <c r="I4" s="2">
        <v>2024</v>
      </c>
      <c r="J4" s="1" t="s">
        <v>96</v>
      </c>
      <c r="K4" s="1" t="s">
        <v>58</v>
      </c>
      <c r="L4" s="1" t="s">
        <v>97</v>
      </c>
      <c r="M4" s="1">
        <v>0</v>
      </c>
      <c r="N4" s="1">
        <v>0</v>
      </c>
      <c r="O4" s="1">
        <v>0</v>
      </c>
      <c r="P4" s="1">
        <v>0</v>
      </c>
      <c r="Q4" s="1" t="s">
        <v>98</v>
      </c>
      <c r="R4" s="1" t="s">
        <v>99</v>
      </c>
      <c r="S4" s="1" t="s">
        <v>100</v>
      </c>
      <c r="T4" s="1" t="s">
        <v>101</v>
      </c>
      <c r="U4" s="1" t="s">
        <v>102</v>
      </c>
      <c r="V4" s="1">
        <v>24</v>
      </c>
      <c r="W4" s="1">
        <v>3</v>
      </c>
      <c r="X4" s="1" t="s">
        <v>104</v>
      </c>
      <c r="Y4" s="1" t="str">
        <f>HYPERLINK("http://dx.doi.org/10.1177/14649934241245173","http://dx.doi.org/10.1177/14649934241245173")</f>
        <v>http://dx.doi.org/10.1177/14649934241245173</v>
      </c>
      <c r="Z4" s="1">
        <v>3</v>
      </c>
      <c r="AA4" s="1" t="s">
        <v>105</v>
      </c>
      <c r="AB4" s="1" t="s">
        <v>106</v>
      </c>
      <c r="AC4" s="1" t="s">
        <v>105</v>
      </c>
      <c r="AD4" s="1" t="s">
        <v>48</v>
      </c>
      <c r="AE4" s="1" t="s">
        <v>48</v>
      </c>
    </row>
    <row r="5" spans="1:31" s="1" customFormat="1" ht="18.5" x14ac:dyDescent="0.45">
      <c r="A5" s="1" t="s">
        <v>107</v>
      </c>
      <c r="B5" s="1" t="s">
        <v>108</v>
      </c>
      <c r="C5" s="1" t="s">
        <v>109</v>
      </c>
      <c r="D5" s="1" t="s">
        <v>110</v>
      </c>
      <c r="E5" s="1" t="s">
        <v>111</v>
      </c>
      <c r="F5" s="1" t="s">
        <v>112</v>
      </c>
      <c r="G5" s="1" t="s">
        <v>48</v>
      </c>
      <c r="H5" s="1" t="s">
        <v>113</v>
      </c>
      <c r="I5" s="2">
        <v>2024</v>
      </c>
      <c r="J5" s="1" t="s">
        <v>114</v>
      </c>
      <c r="K5" s="1" t="s">
        <v>115</v>
      </c>
      <c r="L5" s="1" t="s">
        <v>116</v>
      </c>
      <c r="M5" s="1">
        <v>39</v>
      </c>
      <c r="N5" s="1">
        <v>0</v>
      </c>
      <c r="O5" s="1">
        <v>0</v>
      </c>
      <c r="P5" s="1">
        <v>3</v>
      </c>
      <c r="Q5" s="1" t="s">
        <v>117</v>
      </c>
      <c r="R5" s="1" t="s">
        <v>118</v>
      </c>
      <c r="S5" s="1" t="s">
        <v>119</v>
      </c>
      <c r="T5" s="1" t="s">
        <v>120</v>
      </c>
      <c r="U5" s="1" t="s">
        <v>121</v>
      </c>
      <c r="V5" s="1" t="s">
        <v>48</v>
      </c>
      <c r="W5" s="1" t="s">
        <v>48</v>
      </c>
      <c r="X5" s="1" t="s">
        <v>122</v>
      </c>
      <c r="Y5" s="1" t="str">
        <f>HYPERLINK("http://dx.doi.org/10.22207/JPAM.18.1.17","http://dx.doi.org/10.22207/JPAM.18.1.17")</f>
        <v>http://dx.doi.org/10.22207/JPAM.18.1.17</v>
      </c>
      <c r="Z5" s="1">
        <v>15</v>
      </c>
      <c r="AA5" s="1" t="s">
        <v>123</v>
      </c>
      <c r="AB5" s="1" t="s">
        <v>124</v>
      </c>
      <c r="AC5" s="1" t="s">
        <v>123</v>
      </c>
      <c r="AD5" s="1" t="s">
        <v>48</v>
      </c>
      <c r="AE5" s="1" t="s">
        <v>125</v>
      </c>
    </row>
    <row r="6" spans="1:31" s="1" customFormat="1" ht="18.5" x14ac:dyDescent="0.45">
      <c r="A6" s="1" t="s">
        <v>189</v>
      </c>
      <c r="B6" s="1" t="s">
        <v>190</v>
      </c>
      <c r="C6" s="1" t="s">
        <v>191</v>
      </c>
      <c r="D6" s="1" t="s">
        <v>192</v>
      </c>
      <c r="E6" s="1" t="s">
        <v>111</v>
      </c>
      <c r="F6" s="1" t="s">
        <v>193</v>
      </c>
      <c r="G6" s="1" t="s">
        <v>194</v>
      </c>
      <c r="H6" s="1" t="s">
        <v>195</v>
      </c>
      <c r="I6" s="2">
        <v>2024</v>
      </c>
      <c r="J6" s="1" t="s">
        <v>196</v>
      </c>
      <c r="K6" s="1" t="s">
        <v>58</v>
      </c>
      <c r="L6" s="1" t="s">
        <v>197</v>
      </c>
      <c r="M6" s="1">
        <v>43</v>
      </c>
      <c r="N6" s="1">
        <v>0</v>
      </c>
      <c r="O6" s="1">
        <v>0</v>
      </c>
      <c r="P6" s="1">
        <v>0</v>
      </c>
      <c r="Q6" s="1" t="s">
        <v>198</v>
      </c>
      <c r="R6" s="1" t="s">
        <v>146</v>
      </c>
      <c r="S6" s="1" t="s">
        <v>199</v>
      </c>
      <c r="T6" s="1" t="s">
        <v>200</v>
      </c>
      <c r="U6" s="1" t="s">
        <v>201</v>
      </c>
      <c r="V6" s="1" t="s">
        <v>48</v>
      </c>
      <c r="W6" s="1" t="s">
        <v>48</v>
      </c>
      <c r="X6" s="1" t="s">
        <v>204</v>
      </c>
      <c r="Y6" s="1" t="str">
        <f>HYPERLINK("http://dx.doi.org/10.1080/15715124.2024.2427665","http://dx.doi.org/10.1080/15715124.2024.2427665")</f>
        <v>http://dx.doi.org/10.1080/15715124.2024.2427665</v>
      </c>
      <c r="Z6" s="1">
        <v>14</v>
      </c>
      <c r="AA6" s="1" t="s">
        <v>205</v>
      </c>
      <c r="AB6" s="1" t="s">
        <v>124</v>
      </c>
      <c r="AC6" s="1" t="s">
        <v>205</v>
      </c>
      <c r="AD6" s="1" t="s">
        <v>48</v>
      </c>
      <c r="AE6" s="1" t="s">
        <v>48</v>
      </c>
    </row>
    <row r="7" spans="1:31" s="1" customFormat="1" ht="18.5" x14ac:dyDescent="0.45">
      <c r="A7" s="1" t="s">
        <v>206</v>
      </c>
      <c r="B7" s="1" t="s">
        <v>207</v>
      </c>
      <c r="C7" s="1" t="s">
        <v>208</v>
      </c>
      <c r="D7" s="1" t="s">
        <v>209</v>
      </c>
      <c r="E7" s="1" t="s">
        <v>53</v>
      </c>
      <c r="F7" s="1" t="s">
        <v>210</v>
      </c>
      <c r="G7" s="1" t="s">
        <v>211</v>
      </c>
      <c r="H7" s="1" t="s">
        <v>212</v>
      </c>
      <c r="I7" s="2">
        <v>2024</v>
      </c>
      <c r="J7" s="1" t="s">
        <v>213</v>
      </c>
      <c r="K7" s="1" t="s">
        <v>58</v>
      </c>
      <c r="L7" s="1" t="s">
        <v>214</v>
      </c>
      <c r="M7" s="1">
        <v>24</v>
      </c>
      <c r="N7" s="1">
        <v>0</v>
      </c>
      <c r="O7" s="1">
        <v>3</v>
      </c>
      <c r="P7" s="1">
        <v>13</v>
      </c>
      <c r="Q7" s="1" t="s">
        <v>215</v>
      </c>
      <c r="R7" s="1" t="s">
        <v>158</v>
      </c>
      <c r="S7" s="1" t="s">
        <v>216</v>
      </c>
      <c r="T7" s="1" t="s">
        <v>217</v>
      </c>
      <c r="U7" s="1" t="s">
        <v>218</v>
      </c>
      <c r="V7" s="1">
        <v>253</v>
      </c>
      <c r="W7" s="1" t="s">
        <v>48</v>
      </c>
      <c r="X7" s="1" t="s">
        <v>220</v>
      </c>
      <c r="Y7" s="1" t="str">
        <f>HYPERLINK("http://dx.doi.org/10.1016/j.eswa.2024.124272","http://dx.doi.org/10.1016/j.eswa.2024.124272")</f>
        <v>http://dx.doi.org/10.1016/j.eswa.2024.124272</v>
      </c>
      <c r="Z7" s="1">
        <v>15</v>
      </c>
      <c r="AA7" s="1" t="s">
        <v>221</v>
      </c>
      <c r="AB7" s="1" t="s">
        <v>67</v>
      </c>
      <c r="AC7" s="1" t="s">
        <v>222</v>
      </c>
      <c r="AD7" s="1" t="s">
        <v>48</v>
      </c>
      <c r="AE7" s="1" t="s">
        <v>48</v>
      </c>
    </row>
    <row r="8" spans="1:31" s="1" customFormat="1" ht="18.5" x14ac:dyDescent="0.45">
      <c r="A8" s="1" t="s">
        <v>277</v>
      </c>
      <c r="B8" s="1" t="s">
        <v>278</v>
      </c>
      <c r="C8" s="1" t="s">
        <v>279</v>
      </c>
      <c r="D8" s="1" t="s">
        <v>280</v>
      </c>
      <c r="E8" s="1" t="s">
        <v>53</v>
      </c>
      <c r="F8" s="1" t="s">
        <v>281</v>
      </c>
      <c r="G8" s="1" t="s">
        <v>48</v>
      </c>
      <c r="H8" s="1" t="s">
        <v>282</v>
      </c>
      <c r="I8" s="2">
        <v>2024</v>
      </c>
      <c r="J8" s="1" t="s">
        <v>283</v>
      </c>
      <c r="K8" s="1" t="s">
        <v>115</v>
      </c>
      <c r="L8" s="1" t="s">
        <v>284</v>
      </c>
      <c r="M8" s="1">
        <v>31</v>
      </c>
      <c r="N8" s="1">
        <v>0</v>
      </c>
      <c r="O8" s="1">
        <v>0</v>
      </c>
      <c r="P8" s="1">
        <v>0</v>
      </c>
      <c r="Q8" s="1" t="s">
        <v>285</v>
      </c>
      <c r="R8" s="1" t="s">
        <v>286</v>
      </c>
      <c r="S8" s="1" t="s">
        <v>287</v>
      </c>
      <c r="T8" s="1" t="s">
        <v>288</v>
      </c>
      <c r="U8" s="1" t="s">
        <v>289</v>
      </c>
      <c r="V8" s="1">
        <v>14</v>
      </c>
      <c r="W8" s="1">
        <v>1</v>
      </c>
      <c r="X8" s="1" t="s">
        <v>290</v>
      </c>
      <c r="Y8" s="1" t="str">
        <f>HYPERLINK("http://dx.doi.org/10.1007/s13278-024-01358-y","http://dx.doi.org/10.1007/s13278-024-01358-y")</f>
        <v>http://dx.doi.org/10.1007/s13278-024-01358-y</v>
      </c>
      <c r="Z8" s="1">
        <v>13</v>
      </c>
      <c r="AA8" s="1" t="s">
        <v>291</v>
      </c>
      <c r="AB8" s="1" t="s">
        <v>124</v>
      </c>
      <c r="AC8" s="1" t="s">
        <v>292</v>
      </c>
      <c r="AD8" s="1" t="s">
        <v>48</v>
      </c>
      <c r="AE8" s="1" t="s">
        <v>48</v>
      </c>
    </row>
    <row r="9" spans="1:31" s="1" customFormat="1" ht="18.5" x14ac:dyDescent="0.45">
      <c r="A9" s="1" t="s">
        <v>293</v>
      </c>
      <c r="B9" s="1" t="s">
        <v>294</v>
      </c>
      <c r="C9" s="1" t="s">
        <v>307</v>
      </c>
      <c r="D9" s="1" t="s">
        <v>308</v>
      </c>
      <c r="E9" s="1" t="s">
        <v>53</v>
      </c>
      <c r="F9" s="1" t="s">
        <v>309</v>
      </c>
      <c r="G9" s="1" t="s">
        <v>310</v>
      </c>
      <c r="H9" s="1" t="s">
        <v>311</v>
      </c>
      <c r="I9" s="2">
        <v>2024</v>
      </c>
      <c r="J9" s="1" t="s">
        <v>312</v>
      </c>
      <c r="K9" s="1" t="s">
        <v>58</v>
      </c>
      <c r="L9" s="1" t="s">
        <v>298</v>
      </c>
      <c r="M9" s="1">
        <v>47</v>
      </c>
      <c r="N9" s="1">
        <v>0</v>
      </c>
      <c r="O9" s="1">
        <v>3</v>
      </c>
      <c r="P9" s="1">
        <v>14</v>
      </c>
      <c r="Q9" s="1" t="s">
        <v>313</v>
      </c>
      <c r="R9" s="1" t="s">
        <v>314</v>
      </c>
      <c r="S9" s="1" t="s">
        <v>315</v>
      </c>
      <c r="T9" s="1" t="s">
        <v>316</v>
      </c>
      <c r="U9" s="1" t="s">
        <v>317</v>
      </c>
      <c r="V9" s="1">
        <v>20</v>
      </c>
      <c r="W9" s="1">
        <v>3</v>
      </c>
      <c r="X9" s="1" t="s">
        <v>321</v>
      </c>
      <c r="Y9" s="1" t="str">
        <f>HYPERLINK("http://dx.doi.org/10.3934/jimo.2023114","http://dx.doi.org/10.3934/jimo.2023114")</f>
        <v>http://dx.doi.org/10.3934/jimo.2023114</v>
      </c>
      <c r="Z9" s="1">
        <v>36</v>
      </c>
      <c r="AA9" s="1" t="s">
        <v>322</v>
      </c>
      <c r="AB9" s="1" t="s">
        <v>67</v>
      </c>
      <c r="AC9" s="1" t="s">
        <v>323</v>
      </c>
      <c r="AD9" s="1" t="s">
        <v>48</v>
      </c>
      <c r="AE9" s="1" t="s">
        <v>125</v>
      </c>
    </row>
    <row r="10" spans="1:31" s="1" customFormat="1" ht="18.5" x14ac:dyDescent="0.45">
      <c r="A10" s="1" t="s">
        <v>338</v>
      </c>
      <c r="B10" s="1" t="s">
        <v>339</v>
      </c>
      <c r="C10" s="1" t="s">
        <v>340</v>
      </c>
      <c r="D10" s="1" t="s">
        <v>341</v>
      </c>
      <c r="E10" s="1" t="s">
        <v>53</v>
      </c>
      <c r="F10" s="1" t="s">
        <v>342</v>
      </c>
      <c r="G10" s="1" t="s">
        <v>343</v>
      </c>
      <c r="H10" s="1" t="s">
        <v>344</v>
      </c>
      <c r="I10" s="2">
        <v>2024</v>
      </c>
      <c r="J10" s="1" t="s">
        <v>345</v>
      </c>
      <c r="K10" s="1" t="s">
        <v>58</v>
      </c>
      <c r="L10" s="1" t="s">
        <v>346</v>
      </c>
      <c r="M10" s="1">
        <v>104</v>
      </c>
      <c r="N10" s="1">
        <v>1</v>
      </c>
      <c r="O10" s="1">
        <v>2</v>
      </c>
      <c r="P10" s="1">
        <v>2</v>
      </c>
      <c r="Q10" s="1" t="s">
        <v>347</v>
      </c>
      <c r="R10" s="1" t="s">
        <v>348</v>
      </c>
      <c r="S10" s="1" t="s">
        <v>349</v>
      </c>
      <c r="T10" s="1" t="s">
        <v>350</v>
      </c>
      <c r="U10" s="1" t="s">
        <v>351</v>
      </c>
      <c r="V10" s="1">
        <v>38</v>
      </c>
      <c r="W10" s="1">
        <v>11</v>
      </c>
      <c r="X10" s="1" t="s">
        <v>353</v>
      </c>
      <c r="Y10" s="1" t="str">
        <f>HYPERLINK("http://dx.doi.org/10.1002/hyp.15331","http://dx.doi.org/10.1002/hyp.15331")</f>
        <v>http://dx.doi.org/10.1002/hyp.15331</v>
      </c>
      <c r="Z10" s="1">
        <v>22</v>
      </c>
      <c r="AA10" s="1" t="s">
        <v>205</v>
      </c>
      <c r="AB10" s="1" t="s">
        <v>67</v>
      </c>
      <c r="AC10" s="1" t="s">
        <v>205</v>
      </c>
      <c r="AD10" s="1" t="s">
        <v>48</v>
      </c>
      <c r="AE10" s="1" t="s">
        <v>48</v>
      </c>
    </row>
    <row r="11" spans="1:31" s="1" customFormat="1" ht="18.5" x14ac:dyDescent="0.45">
      <c r="A11" s="1" t="s">
        <v>401</v>
      </c>
      <c r="B11" s="1" t="s">
        <v>402</v>
      </c>
      <c r="C11" s="1" t="s">
        <v>403</v>
      </c>
      <c r="D11" s="1" t="s">
        <v>404</v>
      </c>
      <c r="E11" s="1" t="s">
        <v>53</v>
      </c>
      <c r="F11" s="1" t="s">
        <v>405</v>
      </c>
      <c r="G11" s="1" t="s">
        <v>406</v>
      </c>
      <c r="H11" s="1" t="s">
        <v>407</v>
      </c>
      <c r="I11" s="2">
        <v>2024</v>
      </c>
      <c r="J11" s="1" t="s">
        <v>408</v>
      </c>
      <c r="K11" s="1" t="s">
        <v>115</v>
      </c>
      <c r="L11" s="1" t="s">
        <v>409</v>
      </c>
      <c r="M11" s="1">
        <v>101</v>
      </c>
      <c r="N11" s="1">
        <v>5</v>
      </c>
      <c r="O11" s="1">
        <v>9</v>
      </c>
      <c r="P11" s="1">
        <v>10</v>
      </c>
      <c r="Q11" s="1" t="s">
        <v>410</v>
      </c>
      <c r="R11" s="1" t="s">
        <v>411</v>
      </c>
      <c r="S11" s="1" t="s">
        <v>412</v>
      </c>
      <c r="T11" s="1" t="s">
        <v>413</v>
      </c>
      <c r="U11" s="1" t="s">
        <v>48</v>
      </c>
      <c r="V11" s="1">
        <v>14</v>
      </c>
      <c r="W11" s="1">
        <v>1</v>
      </c>
      <c r="X11" s="1" t="s">
        <v>416</v>
      </c>
      <c r="Y11" s="1" t="str">
        <f>HYPERLINK("http://dx.doi.org/10.1038/s41598-024-60948-0","http://dx.doi.org/10.1038/s41598-024-60948-0")</f>
        <v>http://dx.doi.org/10.1038/s41598-024-60948-0</v>
      </c>
      <c r="Z11" s="1">
        <v>21</v>
      </c>
      <c r="AA11" s="1" t="s">
        <v>335</v>
      </c>
      <c r="AB11" s="1" t="s">
        <v>67</v>
      </c>
      <c r="AC11" s="1" t="s">
        <v>336</v>
      </c>
      <c r="AD11" s="1">
        <v>38755187</v>
      </c>
      <c r="AE11" s="1" t="s">
        <v>337</v>
      </c>
    </row>
    <row r="12" spans="1:31" s="1" customFormat="1" ht="18.5" x14ac:dyDescent="0.45">
      <c r="A12" s="1" t="s">
        <v>440</v>
      </c>
      <c r="B12" s="1" t="s">
        <v>441</v>
      </c>
      <c r="C12" s="1" t="s">
        <v>442</v>
      </c>
      <c r="D12" s="1" t="s">
        <v>443</v>
      </c>
      <c r="E12" s="1" t="s">
        <v>444</v>
      </c>
      <c r="F12" s="1" t="s">
        <v>48</v>
      </c>
      <c r="G12" s="1" t="s">
        <v>445</v>
      </c>
      <c r="H12" s="1" t="s">
        <v>48</v>
      </c>
      <c r="I12" s="2">
        <v>2024</v>
      </c>
      <c r="J12" s="1" t="s">
        <v>446</v>
      </c>
      <c r="K12" s="1" t="s">
        <v>58</v>
      </c>
      <c r="L12" s="1" t="s">
        <v>447</v>
      </c>
      <c r="M12" s="1">
        <v>10</v>
      </c>
      <c r="N12" s="1">
        <v>0</v>
      </c>
      <c r="O12" s="1">
        <v>0</v>
      </c>
      <c r="P12" s="1">
        <v>0</v>
      </c>
      <c r="Q12" s="1" t="s">
        <v>448</v>
      </c>
      <c r="R12" s="1" t="s">
        <v>449</v>
      </c>
      <c r="S12" s="1" t="s">
        <v>450</v>
      </c>
      <c r="T12" s="1" t="s">
        <v>451</v>
      </c>
      <c r="U12" s="1" t="s">
        <v>48</v>
      </c>
      <c r="V12" s="1">
        <v>127</v>
      </c>
      <c r="W12" s="1">
        <v>2</v>
      </c>
      <c r="X12" s="1" t="s">
        <v>48</v>
      </c>
      <c r="Y12" s="1" t="s">
        <v>48</v>
      </c>
      <c r="Z12" s="1">
        <v>2</v>
      </c>
      <c r="AA12" s="1" t="s">
        <v>335</v>
      </c>
      <c r="AB12" s="1" t="s">
        <v>67</v>
      </c>
      <c r="AC12" s="1" t="s">
        <v>336</v>
      </c>
      <c r="AD12" s="1" t="s">
        <v>48</v>
      </c>
      <c r="AE12" s="1" t="s">
        <v>48</v>
      </c>
    </row>
    <row r="13" spans="1:31" s="1" customFormat="1" ht="18.5" x14ac:dyDescent="0.45">
      <c r="A13" s="1" t="s">
        <v>462</v>
      </c>
      <c r="B13" s="1" t="s">
        <v>463</v>
      </c>
      <c r="C13" s="1" t="s">
        <v>464</v>
      </c>
      <c r="D13" s="1" t="s">
        <v>465</v>
      </c>
      <c r="E13" s="1" t="s">
        <v>53</v>
      </c>
      <c r="F13" s="1" t="s">
        <v>466</v>
      </c>
      <c r="G13" s="1" t="s">
        <v>48</v>
      </c>
      <c r="H13" s="1" t="s">
        <v>467</v>
      </c>
      <c r="I13" s="2">
        <v>2024</v>
      </c>
      <c r="J13" s="1" t="s">
        <v>468</v>
      </c>
      <c r="K13" s="1" t="s">
        <v>115</v>
      </c>
      <c r="L13" s="1" t="s">
        <v>469</v>
      </c>
      <c r="M13" s="1">
        <v>27</v>
      </c>
      <c r="N13" s="1">
        <v>0</v>
      </c>
      <c r="O13" s="1">
        <v>1</v>
      </c>
      <c r="P13" s="1">
        <v>1</v>
      </c>
      <c r="Q13" s="1" t="s">
        <v>470</v>
      </c>
      <c r="R13" s="1" t="s">
        <v>471</v>
      </c>
      <c r="S13" s="1" t="s">
        <v>472</v>
      </c>
      <c r="T13" s="1" t="s">
        <v>473</v>
      </c>
      <c r="U13" s="1" t="s">
        <v>474</v>
      </c>
      <c r="V13" s="1">
        <v>18</v>
      </c>
      <c r="W13" s="1">
        <v>7</v>
      </c>
      <c r="X13" s="1" t="s">
        <v>475</v>
      </c>
      <c r="Y13" s="1" t="str">
        <f>HYPERLINK("http://dx.doi.org/10.7860/JCDR/2024/70943.19681","http://dx.doi.org/10.7860/JCDR/2024/70943.19681")</f>
        <v>http://dx.doi.org/10.7860/JCDR/2024/70943.19681</v>
      </c>
      <c r="Z13" s="1">
        <v>5</v>
      </c>
      <c r="AA13" s="1" t="s">
        <v>476</v>
      </c>
      <c r="AB13" s="1" t="s">
        <v>124</v>
      </c>
      <c r="AC13" s="1" t="s">
        <v>477</v>
      </c>
      <c r="AD13" s="1" t="s">
        <v>48</v>
      </c>
      <c r="AE13" s="1" t="s">
        <v>125</v>
      </c>
    </row>
    <row r="14" spans="1:31" s="1" customFormat="1" ht="18.5" x14ac:dyDescent="0.45">
      <c r="A14" s="1" t="s">
        <v>478</v>
      </c>
      <c r="B14" s="1" t="s">
        <v>479</v>
      </c>
      <c r="C14" s="1" t="s">
        <v>480</v>
      </c>
      <c r="D14" s="1" t="s">
        <v>481</v>
      </c>
      <c r="E14" s="1" t="s">
        <v>111</v>
      </c>
      <c r="F14" s="1" t="s">
        <v>482</v>
      </c>
      <c r="G14" s="1" t="s">
        <v>483</v>
      </c>
      <c r="H14" s="1" t="s">
        <v>484</v>
      </c>
      <c r="I14" s="2">
        <v>2024</v>
      </c>
      <c r="J14" s="1" t="s">
        <v>485</v>
      </c>
      <c r="K14" s="1" t="s">
        <v>58</v>
      </c>
      <c r="L14" s="1" t="s">
        <v>486</v>
      </c>
      <c r="M14" s="1">
        <v>57</v>
      </c>
      <c r="N14" s="1">
        <v>1</v>
      </c>
      <c r="O14" s="1">
        <v>0</v>
      </c>
      <c r="P14" s="1">
        <v>0</v>
      </c>
      <c r="Q14" s="1" t="s">
        <v>487</v>
      </c>
      <c r="R14" s="1" t="s">
        <v>488</v>
      </c>
      <c r="S14" s="1" t="s">
        <v>489</v>
      </c>
      <c r="T14" s="1" t="s">
        <v>490</v>
      </c>
      <c r="U14" s="1" t="s">
        <v>491</v>
      </c>
      <c r="V14" s="1" t="s">
        <v>48</v>
      </c>
      <c r="W14" s="1" t="s">
        <v>48</v>
      </c>
      <c r="X14" s="1" t="s">
        <v>492</v>
      </c>
      <c r="Y14" s="1" t="str">
        <f>HYPERLINK("http://dx.doi.org/10.15196/RS140202","http://dx.doi.org/10.15196/RS140202")</f>
        <v>http://dx.doi.org/10.15196/RS140202</v>
      </c>
      <c r="Z14" s="1">
        <v>29</v>
      </c>
      <c r="AA14" s="1" t="s">
        <v>493</v>
      </c>
      <c r="AB14" s="1" t="s">
        <v>124</v>
      </c>
      <c r="AC14" s="1" t="s">
        <v>493</v>
      </c>
      <c r="AD14" s="1" t="s">
        <v>48</v>
      </c>
      <c r="AE14" s="1" t="s">
        <v>125</v>
      </c>
    </row>
    <row r="15" spans="1:31" s="1" customFormat="1" ht="18.5" x14ac:dyDescent="0.45">
      <c r="A15" s="1" t="s">
        <v>494</v>
      </c>
      <c r="B15" s="1" t="s">
        <v>495</v>
      </c>
      <c r="C15" s="1" t="s">
        <v>496</v>
      </c>
      <c r="D15" s="1" t="s">
        <v>497</v>
      </c>
      <c r="E15" s="1" t="s">
        <v>111</v>
      </c>
      <c r="F15" s="1" t="s">
        <v>498</v>
      </c>
      <c r="G15" s="1" t="s">
        <v>499</v>
      </c>
      <c r="H15" s="1" t="s">
        <v>500</v>
      </c>
      <c r="I15" s="2">
        <v>2024</v>
      </c>
      <c r="J15" s="1" t="s">
        <v>501</v>
      </c>
      <c r="K15" s="1" t="s">
        <v>77</v>
      </c>
      <c r="L15" s="1" t="s">
        <v>502</v>
      </c>
      <c r="M15" s="1">
        <v>96</v>
      </c>
      <c r="N15" s="1">
        <v>3</v>
      </c>
      <c r="O15" s="1">
        <v>5</v>
      </c>
      <c r="P15" s="1">
        <v>13</v>
      </c>
      <c r="Q15" s="1" t="s">
        <v>503</v>
      </c>
      <c r="R15" s="1" t="s">
        <v>504</v>
      </c>
      <c r="S15" s="1" t="s">
        <v>505</v>
      </c>
      <c r="T15" s="1" t="s">
        <v>506</v>
      </c>
      <c r="U15" s="1" t="s">
        <v>507</v>
      </c>
      <c r="V15" s="1" t="s">
        <v>48</v>
      </c>
      <c r="W15" s="1" t="s">
        <v>48</v>
      </c>
      <c r="X15" s="1" t="s">
        <v>508</v>
      </c>
      <c r="Y15" s="1" t="str">
        <f>HYPERLINK("http://dx.doi.org/10.1007/s10690-024-09446-x","http://dx.doi.org/10.1007/s10690-024-09446-x")</f>
        <v>http://dx.doi.org/10.1007/s10690-024-09446-x</v>
      </c>
      <c r="Z15" s="1">
        <v>26</v>
      </c>
      <c r="AA15" s="1" t="s">
        <v>509</v>
      </c>
      <c r="AB15" s="1" t="s">
        <v>124</v>
      </c>
      <c r="AC15" s="1" t="s">
        <v>510</v>
      </c>
      <c r="AD15" s="1" t="s">
        <v>48</v>
      </c>
      <c r="AE15" s="1" t="s">
        <v>48</v>
      </c>
    </row>
    <row r="16" spans="1:31" s="1" customFormat="1" ht="18.5" x14ac:dyDescent="0.45">
      <c r="A16" s="1" t="s">
        <v>622</v>
      </c>
      <c r="B16" s="1" t="s">
        <v>623</v>
      </c>
      <c r="C16" s="1" t="s">
        <v>624</v>
      </c>
      <c r="D16" s="1" t="s">
        <v>625</v>
      </c>
      <c r="E16" s="1" t="s">
        <v>53</v>
      </c>
      <c r="F16" s="1" t="s">
        <v>626</v>
      </c>
      <c r="G16" s="1" t="s">
        <v>627</v>
      </c>
      <c r="H16" s="1" t="s">
        <v>628</v>
      </c>
      <c r="I16" s="2">
        <v>2024</v>
      </c>
      <c r="J16" s="1" t="s">
        <v>629</v>
      </c>
      <c r="K16" s="1" t="s">
        <v>58</v>
      </c>
      <c r="L16" s="1" t="s">
        <v>630</v>
      </c>
      <c r="M16" s="1">
        <v>58</v>
      </c>
      <c r="N16" s="1">
        <v>3</v>
      </c>
      <c r="O16" s="1">
        <v>0</v>
      </c>
      <c r="P16" s="1">
        <v>1</v>
      </c>
      <c r="Q16" s="1" t="s">
        <v>631</v>
      </c>
      <c r="R16" s="1" t="s">
        <v>632</v>
      </c>
      <c r="S16" s="1" t="s">
        <v>633</v>
      </c>
      <c r="T16" s="1" t="s">
        <v>48</v>
      </c>
      <c r="U16" s="1" t="s">
        <v>634</v>
      </c>
      <c r="V16" s="1">
        <v>17</v>
      </c>
      <c r="W16" s="1">
        <v>1</v>
      </c>
      <c r="X16" s="1" t="s">
        <v>635</v>
      </c>
      <c r="Y16" s="1" t="str">
        <f>HYPERLINK("http://dx.doi.org/10.1186/s13048-024-01378-4","http://dx.doi.org/10.1186/s13048-024-01378-4")</f>
        <v>http://dx.doi.org/10.1186/s13048-024-01378-4</v>
      </c>
      <c r="Z16" s="1">
        <v>16</v>
      </c>
      <c r="AA16" s="1" t="s">
        <v>636</v>
      </c>
      <c r="AB16" s="1" t="s">
        <v>67</v>
      </c>
      <c r="AC16" s="1" t="s">
        <v>636</v>
      </c>
      <c r="AD16" s="1">
        <v>38589892</v>
      </c>
      <c r="AE16" s="1" t="s">
        <v>125</v>
      </c>
    </row>
    <row r="17" spans="1:31" s="1" customFormat="1" ht="18.5" x14ac:dyDescent="0.45">
      <c r="A17" s="1" t="s">
        <v>637</v>
      </c>
      <c r="B17" s="1" t="s">
        <v>638</v>
      </c>
      <c r="C17" s="1" t="s">
        <v>639</v>
      </c>
      <c r="D17" s="1" t="s">
        <v>640</v>
      </c>
      <c r="E17" s="1" t="s">
        <v>53</v>
      </c>
      <c r="F17" s="1" t="s">
        <v>641</v>
      </c>
      <c r="G17" s="1" t="s">
        <v>642</v>
      </c>
      <c r="H17" s="1" t="s">
        <v>643</v>
      </c>
      <c r="I17" s="2">
        <v>2024</v>
      </c>
      <c r="J17" s="1" t="s">
        <v>644</v>
      </c>
      <c r="K17" s="1" t="s">
        <v>115</v>
      </c>
      <c r="L17" s="1" t="s">
        <v>645</v>
      </c>
      <c r="M17" s="1">
        <v>49</v>
      </c>
      <c r="N17" s="1">
        <v>2</v>
      </c>
      <c r="O17" s="1">
        <v>2</v>
      </c>
      <c r="P17" s="1">
        <v>4</v>
      </c>
      <c r="Q17" s="1" t="s">
        <v>215</v>
      </c>
      <c r="R17" s="1" t="s">
        <v>158</v>
      </c>
      <c r="S17" s="1" t="s">
        <v>216</v>
      </c>
      <c r="T17" s="1" t="s">
        <v>646</v>
      </c>
      <c r="U17" s="1" t="s">
        <v>647</v>
      </c>
      <c r="V17" s="1">
        <v>178</v>
      </c>
      <c r="W17" s="1" t="s">
        <v>48</v>
      </c>
      <c r="X17" s="1" t="s">
        <v>648</v>
      </c>
      <c r="Y17" s="1" t="str">
        <f>HYPERLINK("http://dx.doi.org/10.1016/j.chaos.2023.114389","http://dx.doi.org/10.1016/j.chaos.2023.114389")</f>
        <v>http://dx.doi.org/10.1016/j.chaos.2023.114389</v>
      </c>
      <c r="Z17" s="1">
        <v>20</v>
      </c>
      <c r="AA17" s="1" t="s">
        <v>649</v>
      </c>
      <c r="AB17" s="1" t="s">
        <v>67</v>
      </c>
      <c r="AC17" s="1" t="s">
        <v>650</v>
      </c>
      <c r="AD17" s="1" t="s">
        <v>48</v>
      </c>
      <c r="AE17" s="1" t="s">
        <v>48</v>
      </c>
    </row>
    <row r="18" spans="1:31" s="1" customFormat="1" ht="18.5" x14ac:dyDescent="0.45">
      <c r="A18" s="1" t="s">
        <v>247</v>
      </c>
      <c r="B18" s="1" t="s">
        <v>681</v>
      </c>
      <c r="C18" s="1" t="s">
        <v>682</v>
      </c>
      <c r="D18" s="1" t="s">
        <v>683</v>
      </c>
      <c r="E18" s="1" t="s">
        <v>111</v>
      </c>
      <c r="F18" s="1" t="s">
        <v>684</v>
      </c>
      <c r="G18" s="1" t="s">
        <v>685</v>
      </c>
      <c r="H18" s="1" t="s">
        <v>686</v>
      </c>
      <c r="I18" s="2">
        <v>2024</v>
      </c>
      <c r="J18" s="1" t="s">
        <v>687</v>
      </c>
      <c r="K18" s="1" t="s">
        <v>58</v>
      </c>
      <c r="L18" s="1" t="s">
        <v>688</v>
      </c>
      <c r="M18" s="1">
        <v>45</v>
      </c>
      <c r="N18" s="1">
        <v>0</v>
      </c>
      <c r="O18" s="1">
        <v>3</v>
      </c>
      <c r="P18" s="1">
        <v>3</v>
      </c>
      <c r="Q18" s="1" t="s">
        <v>313</v>
      </c>
      <c r="R18" s="1" t="s">
        <v>314</v>
      </c>
      <c r="S18" s="1" t="s">
        <v>315</v>
      </c>
      <c r="T18" s="1" t="s">
        <v>689</v>
      </c>
      <c r="U18" s="1" t="s">
        <v>690</v>
      </c>
      <c r="V18" s="1" t="s">
        <v>48</v>
      </c>
      <c r="W18" s="1" t="s">
        <v>48</v>
      </c>
      <c r="X18" s="1" t="s">
        <v>693</v>
      </c>
      <c r="Y18" s="1" t="str">
        <f>HYPERLINK("http://dx.doi.org/10.3934/naco.2024036","http://dx.doi.org/10.3934/naco.2024036")</f>
        <v>http://dx.doi.org/10.3934/naco.2024036</v>
      </c>
      <c r="Z18" s="1">
        <v>29</v>
      </c>
      <c r="AA18" s="1" t="s">
        <v>260</v>
      </c>
      <c r="AB18" s="1" t="s">
        <v>124</v>
      </c>
      <c r="AC18" s="1" t="s">
        <v>137</v>
      </c>
      <c r="AD18" s="1" t="s">
        <v>48</v>
      </c>
      <c r="AE18" s="1" t="s">
        <v>125</v>
      </c>
    </row>
    <row r="19" spans="1:31" s="1" customFormat="1" ht="18.5" x14ac:dyDescent="0.45">
      <c r="A19" s="1" t="s">
        <v>694</v>
      </c>
      <c r="B19" s="1" t="s">
        <v>695</v>
      </c>
      <c r="C19" s="1" t="s">
        <v>696</v>
      </c>
      <c r="D19" s="1" t="s">
        <v>697</v>
      </c>
      <c r="E19" s="1" t="s">
        <v>53</v>
      </c>
      <c r="F19" s="1" t="s">
        <v>698</v>
      </c>
      <c r="G19" s="1" t="s">
        <v>699</v>
      </c>
      <c r="H19" s="1" t="s">
        <v>700</v>
      </c>
      <c r="I19" s="2">
        <v>2024</v>
      </c>
      <c r="J19" s="1" t="s">
        <v>701</v>
      </c>
      <c r="K19" s="1" t="s">
        <v>115</v>
      </c>
      <c r="L19" s="1" t="s">
        <v>702</v>
      </c>
      <c r="M19" s="1">
        <v>78</v>
      </c>
      <c r="N19" s="1">
        <v>2</v>
      </c>
      <c r="O19" s="1">
        <v>6</v>
      </c>
      <c r="P19" s="1">
        <v>10</v>
      </c>
      <c r="Q19" s="1" t="s">
        <v>347</v>
      </c>
      <c r="R19" s="1" t="s">
        <v>348</v>
      </c>
      <c r="S19" s="1" t="s">
        <v>349</v>
      </c>
      <c r="T19" s="1" t="s">
        <v>703</v>
      </c>
      <c r="U19" s="1" t="s">
        <v>704</v>
      </c>
      <c r="V19" s="1">
        <v>32</v>
      </c>
      <c r="W19" s="1">
        <v>6</v>
      </c>
      <c r="X19" s="1" t="s">
        <v>705</v>
      </c>
      <c r="Y19" s="1" t="str">
        <f>HYPERLINK("http://dx.doi.org/10.1002/sd.3059","http://dx.doi.org/10.1002/sd.3059")</f>
        <v>http://dx.doi.org/10.1002/sd.3059</v>
      </c>
      <c r="Z19" s="1">
        <v>17</v>
      </c>
      <c r="AA19" s="1" t="s">
        <v>706</v>
      </c>
      <c r="AB19" s="1" t="s">
        <v>106</v>
      </c>
      <c r="AC19" s="1" t="s">
        <v>707</v>
      </c>
      <c r="AD19" s="1" t="s">
        <v>48</v>
      </c>
      <c r="AE19" s="1" t="s">
        <v>48</v>
      </c>
    </row>
    <row r="20" spans="1:31" s="1" customFormat="1" ht="18.5" x14ac:dyDescent="0.45">
      <c r="A20" s="1" t="s">
        <v>708</v>
      </c>
      <c r="B20" s="1" t="s">
        <v>709</v>
      </c>
      <c r="C20" s="1" t="s">
        <v>710</v>
      </c>
      <c r="D20" s="1" t="s">
        <v>711</v>
      </c>
      <c r="E20" s="1" t="s">
        <v>111</v>
      </c>
      <c r="F20" s="1" t="s">
        <v>712</v>
      </c>
      <c r="G20" s="1" t="s">
        <v>713</v>
      </c>
      <c r="H20" s="1" t="s">
        <v>714</v>
      </c>
      <c r="I20" s="2">
        <v>2024</v>
      </c>
      <c r="J20" s="1" t="s">
        <v>715</v>
      </c>
      <c r="K20" s="1" t="s">
        <v>58</v>
      </c>
      <c r="L20" s="1" t="s">
        <v>716</v>
      </c>
      <c r="M20" s="1">
        <v>64</v>
      </c>
      <c r="N20" s="1">
        <v>2</v>
      </c>
      <c r="O20" s="1">
        <v>4</v>
      </c>
      <c r="P20" s="1">
        <v>12</v>
      </c>
      <c r="Q20" s="1" t="s">
        <v>503</v>
      </c>
      <c r="R20" s="1" t="s">
        <v>542</v>
      </c>
      <c r="S20" s="1" t="s">
        <v>543</v>
      </c>
      <c r="T20" s="1" t="s">
        <v>717</v>
      </c>
      <c r="U20" s="1" t="s">
        <v>718</v>
      </c>
      <c r="V20" s="1" t="s">
        <v>48</v>
      </c>
      <c r="W20" s="1" t="s">
        <v>48</v>
      </c>
      <c r="X20" s="1" t="s">
        <v>721</v>
      </c>
      <c r="Y20" s="1" t="str">
        <f>HYPERLINK("http://dx.doi.org/10.1007/s10668-024-04933-7","http://dx.doi.org/10.1007/s10668-024-04933-7")</f>
        <v>http://dx.doi.org/10.1007/s10668-024-04933-7</v>
      </c>
      <c r="Z20" s="1">
        <v>23</v>
      </c>
      <c r="AA20" s="1" t="s">
        <v>722</v>
      </c>
      <c r="AB20" s="1" t="s">
        <v>67</v>
      </c>
      <c r="AC20" s="1" t="s">
        <v>723</v>
      </c>
      <c r="AD20" s="1" t="s">
        <v>48</v>
      </c>
      <c r="AE20" s="1" t="s">
        <v>48</v>
      </c>
    </row>
    <row r="21" spans="1:31" s="1" customFormat="1" ht="18.5" x14ac:dyDescent="0.45">
      <c r="A21" s="1" t="s">
        <v>293</v>
      </c>
      <c r="B21" s="1" t="s">
        <v>294</v>
      </c>
      <c r="C21" s="1" t="s">
        <v>756</v>
      </c>
      <c r="D21" s="1" t="s">
        <v>296</v>
      </c>
      <c r="E21" s="1" t="s">
        <v>53</v>
      </c>
      <c r="F21" s="1" t="s">
        <v>757</v>
      </c>
      <c r="G21" s="1" t="s">
        <v>758</v>
      </c>
      <c r="H21" s="1" t="s">
        <v>759</v>
      </c>
      <c r="I21" s="2">
        <v>2024</v>
      </c>
      <c r="J21" s="1" t="s">
        <v>297</v>
      </c>
      <c r="K21" s="1" t="s">
        <v>115</v>
      </c>
      <c r="L21" s="1" t="s">
        <v>298</v>
      </c>
      <c r="M21" s="1">
        <v>49</v>
      </c>
      <c r="N21" s="1">
        <v>0</v>
      </c>
      <c r="O21" s="1">
        <v>9</v>
      </c>
      <c r="P21" s="1">
        <v>48</v>
      </c>
      <c r="Q21" s="1" t="s">
        <v>198</v>
      </c>
      <c r="R21" s="1" t="s">
        <v>146</v>
      </c>
      <c r="S21" s="1" t="s">
        <v>199</v>
      </c>
      <c r="T21" s="1" t="s">
        <v>299</v>
      </c>
      <c r="U21" s="1" t="s">
        <v>300</v>
      </c>
      <c r="V21" s="1">
        <v>11</v>
      </c>
      <c r="W21" s="1">
        <v>1</v>
      </c>
      <c r="X21" s="1" t="s">
        <v>760</v>
      </c>
      <c r="Y21" s="1" t="str">
        <f>HYPERLINK("http://dx.doi.org/10.1080/23302674.2023.2297835","http://dx.doi.org/10.1080/23302674.2023.2297835")</f>
        <v>http://dx.doi.org/10.1080/23302674.2023.2297835</v>
      </c>
      <c r="Z21" s="1">
        <v>31</v>
      </c>
      <c r="AA21" s="1" t="s">
        <v>305</v>
      </c>
      <c r="AB21" s="1" t="s">
        <v>67</v>
      </c>
      <c r="AC21" s="1" t="s">
        <v>306</v>
      </c>
      <c r="AD21" s="1" t="s">
        <v>48</v>
      </c>
      <c r="AE21" s="1" t="s">
        <v>48</v>
      </c>
    </row>
    <row r="22" spans="1:31" s="1" customFormat="1" ht="18.5" x14ac:dyDescent="0.45">
      <c r="A22" s="1" t="s">
        <v>761</v>
      </c>
      <c r="B22" s="1" t="s">
        <v>762</v>
      </c>
      <c r="C22" s="1" t="s">
        <v>763</v>
      </c>
      <c r="D22" s="1" t="s">
        <v>155</v>
      </c>
      <c r="E22" s="1" t="s">
        <v>53</v>
      </c>
      <c r="F22" s="1" t="s">
        <v>764</v>
      </c>
      <c r="G22" s="1" t="s">
        <v>765</v>
      </c>
      <c r="H22" s="1" t="s">
        <v>766</v>
      </c>
      <c r="I22" s="2">
        <v>2024</v>
      </c>
      <c r="J22" s="1" t="s">
        <v>767</v>
      </c>
      <c r="K22" s="1" t="s">
        <v>58</v>
      </c>
      <c r="L22" s="1" t="s">
        <v>688</v>
      </c>
      <c r="M22" s="1">
        <v>33</v>
      </c>
      <c r="N22" s="1">
        <v>2</v>
      </c>
      <c r="O22" s="1">
        <v>3</v>
      </c>
      <c r="P22" s="1">
        <v>3</v>
      </c>
      <c r="Q22" s="1" t="s">
        <v>60</v>
      </c>
      <c r="R22" s="1" t="s">
        <v>61</v>
      </c>
      <c r="S22" s="1" t="s">
        <v>62</v>
      </c>
      <c r="T22" s="1" t="s">
        <v>160</v>
      </c>
      <c r="U22" s="1" t="s">
        <v>161</v>
      </c>
      <c r="V22" s="1">
        <v>476</v>
      </c>
      <c r="W22" s="1" t="s">
        <v>48</v>
      </c>
      <c r="X22" s="1" t="s">
        <v>769</v>
      </c>
      <c r="Y22" s="1" t="str">
        <f>HYPERLINK("http://dx.doi.org/10.1016/j.jclepro.2024.143630","http://dx.doi.org/10.1016/j.jclepro.2024.143630")</f>
        <v>http://dx.doi.org/10.1016/j.jclepro.2024.143630</v>
      </c>
      <c r="Z22" s="1">
        <v>18</v>
      </c>
      <c r="AA22" s="1" t="s">
        <v>164</v>
      </c>
      <c r="AB22" s="1" t="s">
        <v>67</v>
      </c>
      <c r="AC22" s="1" t="s">
        <v>165</v>
      </c>
      <c r="AD22" s="1" t="s">
        <v>48</v>
      </c>
      <c r="AE22" s="1" t="s">
        <v>48</v>
      </c>
    </row>
    <row r="23" spans="1:31" s="1" customFormat="1" ht="18.5" x14ac:dyDescent="0.45">
      <c r="A23" s="1" t="s">
        <v>775</v>
      </c>
      <c r="B23" s="1" t="s">
        <v>776</v>
      </c>
      <c r="C23" s="1" t="s">
        <v>777</v>
      </c>
      <c r="D23" s="1" t="s">
        <v>778</v>
      </c>
      <c r="E23" s="1" t="s">
        <v>53</v>
      </c>
      <c r="F23" s="1" t="s">
        <v>779</v>
      </c>
      <c r="G23" s="1" t="s">
        <v>780</v>
      </c>
      <c r="H23" s="1" t="s">
        <v>781</v>
      </c>
      <c r="I23" s="2">
        <v>2024</v>
      </c>
      <c r="J23" s="1" t="s">
        <v>782</v>
      </c>
      <c r="K23" s="1" t="s">
        <v>58</v>
      </c>
      <c r="L23" s="1" t="s">
        <v>783</v>
      </c>
      <c r="M23" s="1">
        <v>136</v>
      </c>
      <c r="N23" s="1">
        <v>3</v>
      </c>
      <c r="O23" s="1">
        <v>3</v>
      </c>
      <c r="P23" s="1">
        <v>12</v>
      </c>
      <c r="Q23" s="1" t="s">
        <v>79</v>
      </c>
      <c r="R23" s="1" t="s">
        <v>80</v>
      </c>
      <c r="S23" s="1" t="s">
        <v>81</v>
      </c>
      <c r="T23" s="1" t="s">
        <v>784</v>
      </c>
      <c r="U23" s="1" t="s">
        <v>785</v>
      </c>
      <c r="V23" s="1">
        <v>237</v>
      </c>
      <c r="W23" s="1" t="s">
        <v>48</v>
      </c>
      <c r="X23" s="1" t="s">
        <v>786</v>
      </c>
      <c r="Y23" s="1" t="str">
        <f>HYPERLINK("http://dx.doi.org/10.1016/j.catena.2024.107834","http://dx.doi.org/10.1016/j.catena.2024.107834")</f>
        <v>http://dx.doi.org/10.1016/j.catena.2024.107834</v>
      </c>
      <c r="Z23" s="1">
        <v>17</v>
      </c>
      <c r="AA23" s="1" t="s">
        <v>787</v>
      </c>
      <c r="AB23" s="1" t="s">
        <v>67</v>
      </c>
      <c r="AC23" s="1" t="s">
        <v>788</v>
      </c>
      <c r="AD23" s="1" t="s">
        <v>48</v>
      </c>
      <c r="AE23" s="1" t="s">
        <v>48</v>
      </c>
    </row>
    <row r="24" spans="1:31" s="1" customFormat="1" ht="18.5" x14ac:dyDescent="0.45">
      <c r="A24" s="1" t="s">
        <v>789</v>
      </c>
      <c r="B24" s="1" t="s">
        <v>790</v>
      </c>
      <c r="C24" s="1" t="s">
        <v>791</v>
      </c>
      <c r="D24" s="1" t="s">
        <v>155</v>
      </c>
      <c r="E24" s="1" t="s">
        <v>53</v>
      </c>
      <c r="F24" s="1" t="s">
        <v>792</v>
      </c>
      <c r="G24" s="1" t="s">
        <v>793</v>
      </c>
      <c r="H24" s="1" t="s">
        <v>794</v>
      </c>
      <c r="I24" s="2">
        <v>2024</v>
      </c>
      <c r="J24" s="1" t="s">
        <v>795</v>
      </c>
      <c r="K24" s="1" t="s">
        <v>115</v>
      </c>
      <c r="L24" s="1" t="s">
        <v>702</v>
      </c>
      <c r="M24" s="1">
        <v>96</v>
      </c>
      <c r="N24" s="1">
        <v>15</v>
      </c>
      <c r="O24" s="1">
        <v>23</v>
      </c>
      <c r="P24" s="1">
        <v>57</v>
      </c>
      <c r="Q24" s="1" t="s">
        <v>60</v>
      </c>
      <c r="R24" s="1" t="s">
        <v>61</v>
      </c>
      <c r="S24" s="1" t="s">
        <v>62</v>
      </c>
      <c r="T24" s="1" t="s">
        <v>160</v>
      </c>
      <c r="U24" s="1" t="s">
        <v>161</v>
      </c>
      <c r="V24" s="1">
        <v>437</v>
      </c>
      <c r="W24" s="1" t="s">
        <v>48</v>
      </c>
      <c r="X24" s="1" t="s">
        <v>797</v>
      </c>
      <c r="Y24" s="1" t="str">
        <f>HYPERLINK("http://dx.doi.org/10.1016/j.jclepro.2023.140517","http://dx.doi.org/10.1016/j.jclepro.2023.140517")</f>
        <v>http://dx.doi.org/10.1016/j.jclepro.2023.140517</v>
      </c>
      <c r="Z24" s="1">
        <v>11</v>
      </c>
      <c r="AA24" s="1" t="s">
        <v>164</v>
      </c>
      <c r="AB24" s="1" t="s">
        <v>67</v>
      </c>
      <c r="AC24" s="1" t="s">
        <v>165</v>
      </c>
      <c r="AD24" s="1" t="s">
        <v>48</v>
      </c>
      <c r="AE24" s="1" t="s">
        <v>48</v>
      </c>
    </row>
    <row r="25" spans="1:31" s="1" customFormat="1" ht="18.5" x14ac:dyDescent="0.45">
      <c r="A25" s="1" t="s">
        <v>843</v>
      </c>
      <c r="B25" s="1" t="s">
        <v>844</v>
      </c>
      <c r="C25" s="1" t="s">
        <v>845</v>
      </c>
      <c r="D25" s="1" t="s">
        <v>846</v>
      </c>
      <c r="E25" s="1" t="s">
        <v>111</v>
      </c>
      <c r="F25" s="1" t="s">
        <v>847</v>
      </c>
      <c r="G25" s="1" t="s">
        <v>848</v>
      </c>
      <c r="H25" s="1" t="s">
        <v>849</v>
      </c>
      <c r="I25" s="2">
        <v>2024</v>
      </c>
      <c r="J25" s="1" t="s">
        <v>850</v>
      </c>
      <c r="K25" s="1" t="s">
        <v>58</v>
      </c>
      <c r="L25" s="1" t="s">
        <v>851</v>
      </c>
      <c r="M25" s="1">
        <v>32</v>
      </c>
      <c r="N25" s="1">
        <v>0</v>
      </c>
      <c r="O25" s="1">
        <v>4</v>
      </c>
      <c r="P25" s="1">
        <v>5</v>
      </c>
      <c r="Q25" s="1" t="s">
        <v>748</v>
      </c>
      <c r="R25" s="1" t="s">
        <v>749</v>
      </c>
      <c r="S25" s="1" t="s">
        <v>750</v>
      </c>
      <c r="T25" s="1" t="s">
        <v>852</v>
      </c>
      <c r="U25" s="1" t="s">
        <v>853</v>
      </c>
      <c r="V25" s="1" t="s">
        <v>48</v>
      </c>
      <c r="W25" s="1" t="s">
        <v>48</v>
      </c>
      <c r="X25" s="1" t="s">
        <v>854</v>
      </c>
      <c r="Y25" s="1" t="str">
        <f>HYPERLINK("http://dx.doi.org/10.1142/S1793524524500104","http://dx.doi.org/10.1142/S1793524524500104")</f>
        <v>http://dx.doi.org/10.1142/S1793524524500104</v>
      </c>
      <c r="Z25" s="1">
        <v>36</v>
      </c>
      <c r="AA25" s="1" t="s">
        <v>855</v>
      </c>
      <c r="AB25" s="1" t="s">
        <v>67</v>
      </c>
      <c r="AC25" s="1" t="s">
        <v>855</v>
      </c>
      <c r="AD25" s="1" t="s">
        <v>48</v>
      </c>
      <c r="AE25" s="1" t="s">
        <v>48</v>
      </c>
    </row>
    <row r="26" spans="1:31" s="1" customFormat="1" ht="18.5" x14ac:dyDescent="0.45">
      <c r="A26" s="1" t="s">
        <v>324</v>
      </c>
      <c r="B26" s="1" t="s">
        <v>325</v>
      </c>
      <c r="C26" s="1" t="s">
        <v>856</v>
      </c>
      <c r="D26" s="1" t="s">
        <v>857</v>
      </c>
      <c r="E26" s="1" t="s">
        <v>53</v>
      </c>
      <c r="F26" s="1" t="s">
        <v>858</v>
      </c>
      <c r="G26" s="1" t="s">
        <v>859</v>
      </c>
      <c r="H26" s="1" t="s">
        <v>860</v>
      </c>
      <c r="I26" s="2">
        <v>2024</v>
      </c>
      <c r="J26" s="1" t="s">
        <v>861</v>
      </c>
      <c r="K26" s="1" t="s">
        <v>115</v>
      </c>
      <c r="L26" s="1" t="s">
        <v>862</v>
      </c>
      <c r="M26" s="1">
        <v>77</v>
      </c>
      <c r="N26" s="1">
        <v>2</v>
      </c>
      <c r="O26" s="1">
        <v>6</v>
      </c>
      <c r="P26" s="1">
        <v>7</v>
      </c>
      <c r="Q26" s="1" t="s">
        <v>79</v>
      </c>
      <c r="R26" s="1" t="s">
        <v>80</v>
      </c>
      <c r="S26" s="1" t="s">
        <v>81</v>
      </c>
      <c r="T26" s="1" t="s">
        <v>863</v>
      </c>
      <c r="U26" s="1" t="s">
        <v>864</v>
      </c>
      <c r="V26" s="1">
        <v>169</v>
      </c>
      <c r="W26" s="1" t="s">
        <v>48</v>
      </c>
      <c r="X26" s="1" t="s">
        <v>865</v>
      </c>
      <c r="Y26" s="1" t="str">
        <f>HYPERLINK("http://dx.doi.org/10.1016/j.sajb.2024.04.039","http://dx.doi.org/10.1016/j.sajb.2024.04.039")</f>
        <v>http://dx.doi.org/10.1016/j.sajb.2024.04.039</v>
      </c>
      <c r="Z26" s="1">
        <v>13</v>
      </c>
      <c r="AA26" s="1" t="s">
        <v>426</v>
      </c>
      <c r="AB26" s="1" t="s">
        <v>67</v>
      </c>
      <c r="AC26" s="1" t="s">
        <v>426</v>
      </c>
      <c r="AD26" s="1" t="s">
        <v>48</v>
      </c>
      <c r="AE26" s="1" t="s">
        <v>48</v>
      </c>
    </row>
    <row r="27" spans="1:31" s="1" customFormat="1" ht="18.5" x14ac:dyDescent="0.45">
      <c r="A27" s="1" t="s">
        <v>875</v>
      </c>
      <c r="B27" s="1" t="s">
        <v>876</v>
      </c>
      <c r="C27" s="1" t="s">
        <v>877</v>
      </c>
      <c r="D27" s="1" t="s">
        <v>711</v>
      </c>
      <c r="E27" s="1" t="s">
        <v>53</v>
      </c>
      <c r="F27" s="1" t="s">
        <v>878</v>
      </c>
      <c r="G27" s="1" t="s">
        <v>879</v>
      </c>
      <c r="H27" s="1" t="s">
        <v>880</v>
      </c>
      <c r="I27" s="2">
        <v>2024</v>
      </c>
      <c r="J27" s="1" t="s">
        <v>881</v>
      </c>
      <c r="K27" s="1" t="s">
        <v>58</v>
      </c>
      <c r="L27" s="1" t="s">
        <v>882</v>
      </c>
      <c r="M27" s="1">
        <v>46</v>
      </c>
      <c r="N27" s="1">
        <v>0</v>
      </c>
      <c r="O27" s="1">
        <v>5</v>
      </c>
      <c r="P27" s="1">
        <v>13</v>
      </c>
      <c r="Q27" s="1" t="s">
        <v>503</v>
      </c>
      <c r="R27" s="1" t="s">
        <v>542</v>
      </c>
      <c r="S27" s="1" t="s">
        <v>543</v>
      </c>
      <c r="T27" s="1" t="s">
        <v>717</v>
      </c>
      <c r="U27" s="1" t="s">
        <v>718</v>
      </c>
      <c r="V27" s="1">
        <v>26</v>
      </c>
      <c r="W27" s="1">
        <v>7</v>
      </c>
      <c r="X27" s="1" t="s">
        <v>883</v>
      </c>
      <c r="Y27" s="1" t="str">
        <f>HYPERLINK("http://dx.doi.org/10.1007/s10668-023-03314-w","http://dx.doi.org/10.1007/s10668-023-03314-w")</f>
        <v>http://dx.doi.org/10.1007/s10668-023-03314-w</v>
      </c>
      <c r="Z27" s="1">
        <v>24</v>
      </c>
      <c r="AA27" s="1" t="s">
        <v>722</v>
      </c>
      <c r="AB27" s="1" t="s">
        <v>67</v>
      </c>
      <c r="AC27" s="1" t="s">
        <v>723</v>
      </c>
      <c r="AD27" s="1" t="s">
        <v>48</v>
      </c>
      <c r="AE27" s="1" t="s">
        <v>48</v>
      </c>
    </row>
    <row r="28" spans="1:31" s="1" customFormat="1" ht="18.5" x14ac:dyDescent="0.45">
      <c r="A28" s="1" t="s">
        <v>913</v>
      </c>
      <c r="B28" s="1" t="s">
        <v>914</v>
      </c>
      <c r="C28" s="1" t="s">
        <v>915</v>
      </c>
      <c r="D28" s="1" t="s">
        <v>916</v>
      </c>
      <c r="E28" s="1" t="s">
        <v>53</v>
      </c>
      <c r="F28" s="1" t="s">
        <v>917</v>
      </c>
      <c r="G28" s="1" t="s">
        <v>918</v>
      </c>
      <c r="H28" s="1" t="s">
        <v>919</v>
      </c>
      <c r="I28" s="2">
        <v>2024</v>
      </c>
      <c r="J28" s="1" t="s">
        <v>920</v>
      </c>
      <c r="K28" s="1" t="s">
        <v>58</v>
      </c>
      <c r="L28" s="1" t="s">
        <v>921</v>
      </c>
      <c r="M28" s="1">
        <v>19</v>
      </c>
      <c r="N28" s="1">
        <v>0</v>
      </c>
      <c r="O28" s="1">
        <v>1</v>
      </c>
      <c r="P28" s="1">
        <v>1</v>
      </c>
      <c r="Q28" s="1" t="s">
        <v>922</v>
      </c>
      <c r="R28" s="1" t="s">
        <v>923</v>
      </c>
      <c r="S28" s="1" t="s">
        <v>924</v>
      </c>
      <c r="T28" s="1" t="s">
        <v>925</v>
      </c>
      <c r="U28" s="1" t="s">
        <v>48</v>
      </c>
      <c r="V28" s="1">
        <v>11</v>
      </c>
      <c r="W28" s="1">
        <v>2</v>
      </c>
      <c r="X28" s="1" t="s">
        <v>926</v>
      </c>
      <c r="Y28" s="1" t="str">
        <f>HYPERLINK("http://dx.doi.org/10.14719/pst.3006","http://dx.doi.org/10.14719/pst.3006")</f>
        <v>http://dx.doi.org/10.14719/pst.3006</v>
      </c>
      <c r="Z28" s="1">
        <v>10</v>
      </c>
      <c r="AA28" s="1" t="s">
        <v>426</v>
      </c>
      <c r="AB28" s="1" t="s">
        <v>124</v>
      </c>
      <c r="AC28" s="1" t="s">
        <v>426</v>
      </c>
      <c r="AD28" s="1" t="s">
        <v>48</v>
      </c>
      <c r="AE28" s="1" t="s">
        <v>125</v>
      </c>
    </row>
    <row r="29" spans="1:31" s="1" customFormat="1" ht="18.5" x14ac:dyDescent="0.45">
      <c r="A29" s="1" t="s">
        <v>945</v>
      </c>
      <c r="B29" s="1" t="s">
        <v>946</v>
      </c>
      <c r="C29" s="1" t="s">
        <v>964</v>
      </c>
      <c r="D29" s="1" t="s">
        <v>965</v>
      </c>
      <c r="E29" s="1" t="s">
        <v>53</v>
      </c>
      <c r="F29" s="1" t="s">
        <v>966</v>
      </c>
      <c r="G29" s="1" t="s">
        <v>967</v>
      </c>
      <c r="H29" s="1" t="s">
        <v>968</v>
      </c>
      <c r="I29" s="2">
        <v>2024</v>
      </c>
      <c r="J29" s="1" t="s">
        <v>969</v>
      </c>
      <c r="K29" s="1" t="s">
        <v>58</v>
      </c>
      <c r="L29" s="1" t="s">
        <v>970</v>
      </c>
      <c r="M29" s="1">
        <v>31</v>
      </c>
      <c r="N29" s="1">
        <v>2</v>
      </c>
      <c r="O29" s="1">
        <v>1</v>
      </c>
      <c r="P29" s="1">
        <v>3</v>
      </c>
      <c r="Q29" s="1" t="s">
        <v>145</v>
      </c>
      <c r="R29" s="1" t="s">
        <v>146</v>
      </c>
      <c r="S29" s="1" t="s">
        <v>147</v>
      </c>
      <c r="T29" s="1" t="s">
        <v>971</v>
      </c>
      <c r="U29" s="1" t="s">
        <v>972</v>
      </c>
      <c r="V29" s="1">
        <v>26</v>
      </c>
      <c r="W29" s="1">
        <v>2</v>
      </c>
      <c r="X29" s="1" t="s">
        <v>974</v>
      </c>
      <c r="Y29" s="1" t="str">
        <f>HYPERLINK("http://dx.doi.org/10.1080/10999922.2022.2163047","http://dx.doi.org/10.1080/10999922.2022.2163047")</f>
        <v>http://dx.doi.org/10.1080/10999922.2022.2163047</v>
      </c>
      <c r="Z29" s="1">
        <v>13</v>
      </c>
      <c r="AA29" s="1" t="s">
        <v>975</v>
      </c>
      <c r="AB29" s="1" t="s">
        <v>124</v>
      </c>
      <c r="AC29" s="1" t="s">
        <v>975</v>
      </c>
      <c r="AD29" s="1" t="s">
        <v>48</v>
      </c>
      <c r="AE29" s="1" t="s">
        <v>48</v>
      </c>
    </row>
    <row r="30" spans="1:31" s="1" customFormat="1" ht="18.5" x14ac:dyDescent="0.45">
      <c r="A30" s="1" t="s">
        <v>338</v>
      </c>
      <c r="B30" s="1" t="s">
        <v>339</v>
      </c>
      <c r="C30" s="1" t="s">
        <v>1017</v>
      </c>
      <c r="D30" s="1" t="s">
        <v>1018</v>
      </c>
      <c r="E30" s="1" t="s">
        <v>111</v>
      </c>
      <c r="F30" s="1" t="s">
        <v>1019</v>
      </c>
      <c r="G30" s="1" t="s">
        <v>1020</v>
      </c>
      <c r="H30" s="1" t="s">
        <v>1021</v>
      </c>
      <c r="I30" s="2">
        <v>2024</v>
      </c>
      <c r="J30" s="1" t="s">
        <v>1022</v>
      </c>
      <c r="K30" s="1" t="s">
        <v>115</v>
      </c>
      <c r="L30" s="1" t="s">
        <v>1023</v>
      </c>
      <c r="M30" s="1">
        <v>105</v>
      </c>
      <c r="N30" s="1">
        <v>3</v>
      </c>
      <c r="O30" s="1">
        <v>6</v>
      </c>
      <c r="P30" s="1">
        <v>17</v>
      </c>
      <c r="Q30" s="1" t="s">
        <v>252</v>
      </c>
      <c r="R30" s="1" t="s">
        <v>253</v>
      </c>
      <c r="S30" s="1" t="s">
        <v>254</v>
      </c>
      <c r="T30" s="1" t="s">
        <v>1024</v>
      </c>
      <c r="U30" s="1" t="s">
        <v>1025</v>
      </c>
      <c r="V30" s="1" t="s">
        <v>48</v>
      </c>
      <c r="W30" s="1" t="s">
        <v>48</v>
      </c>
      <c r="X30" s="1" t="s">
        <v>1028</v>
      </c>
      <c r="Y30" s="1" t="str">
        <f>HYPERLINK("http://dx.doi.org/10.1007/s11356-024-32286-1","http://dx.doi.org/10.1007/s11356-024-32286-1")</f>
        <v>http://dx.doi.org/10.1007/s11356-024-32286-1</v>
      </c>
      <c r="Z30" s="1">
        <v>23</v>
      </c>
      <c r="AA30" s="1" t="s">
        <v>438</v>
      </c>
      <c r="AB30" s="1" t="s">
        <v>67</v>
      </c>
      <c r="AC30" s="1" t="s">
        <v>439</v>
      </c>
      <c r="AD30" s="1">
        <v>38407708</v>
      </c>
      <c r="AE30" s="1" t="s">
        <v>48</v>
      </c>
    </row>
    <row r="31" spans="1:31" s="1" customFormat="1" ht="18.5" x14ac:dyDescent="0.45">
      <c r="A31" s="1" t="s">
        <v>277</v>
      </c>
      <c r="B31" s="1" t="s">
        <v>278</v>
      </c>
      <c r="C31" s="1" t="s">
        <v>1029</v>
      </c>
      <c r="D31" s="1" t="s">
        <v>1030</v>
      </c>
      <c r="E31" s="1" t="s">
        <v>53</v>
      </c>
      <c r="F31" s="1" t="s">
        <v>1031</v>
      </c>
      <c r="G31" s="1" t="s">
        <v>1032</v>
      </c>
      <c r="H31" s="1" t="s">
        <v>1033</v>
      </c>
      <c r="I31" s="2">
        <v>2024</v>
      </c>
      <c r="J31" s="1" t="s">
        <v>1034</v>
      </c>
      <c r="K31" s="1" t="s">
        <v>58</v>
      </c>
      <c r="L31" s="1" t="s">
        <v>1035</v>
      </c>
      <c r="M31" s="1">
        <v>32</v>
      </c>
      <c r="N31" s="1">
        <v>2</v>
      </c>
      <c r="O31" s="1">
        <v>0</v>
      </c>
      <c r="P31" s="1">
        <v>4</v>
      </c>
      <c r="Q31" s="1" t="s">
        <v>252</v>
      </c>
      <c r="R31" s="1" t="s">
        <v>253</v>
      </c>
      <c r="S31" s="1" t="s">
        <v>254</v>
      </c>
      <c r="T31" s="1" t="s">
        <v>1036</v>
      </c>
      <c r="U31" s="1" t="s">
        <v>1037</v>
      </c>
      <c r="V31" s="1">
        <v>70</v>
      </c>
      <c r="W31" s="1">
        <v>2</v>
      </c>
      <c r="X31" s="1" t="s">
        <v>1040</v>
      </c>
      <c r="Y31" s="1" t="str">
        <f>HYPERLINK("http://dx.doi.org/10.1007/s12190-024-02006-6","http://dx.doi.org/10.1007/s12190-024-02006-6")</f>
        <v>http://dx.doi.org/10.1007/s12190-024-02006-6</v>
      </c>
      <c r="Z31" s="1">
        <v>29</v>
      </c>
      <c r="AA31" s="1" t="s">
        <v>1041</v>
      </c>
      <c r="AB31" s="1" t="s">
        <v>67</v>
      </c>
      <c r="AC31" s="1" t="s">
        <v>137</v>
      </c>
      <c r="AD31" s="1" t="s">
        <v>48</v>
      </c>
      <c r="AE31" s="1" t="s">
        <v>48</v>
      </c>
    </row>
    <row r="32" spans="1:31" s="1" customFormat="1" ht="18.5" x14ac:dyDescent="0.45">
      <c r="A32" s="1" t="s">
        <v>551</v>
      </c>
      <c r="B32" s="1" t="s">
        <v>552</v>
      </c>
      <c r="C32" s="1" t="s">
        <v>1048</v>
      </c>
      <c r="D32" s="1" t="s">
        <v>1049</v>
      </c>
      <c r="E32" s="1" t="s">
        <v>53</v>
      </c>
      <c r="F32" s="1" t="s">
        <v>1050</v>
      </c>
      <c r="G32" s="1" t="s">
        <v>1051</v>
      </c>
      <c r="H32" s="1" t="s">
        <v>1052</v>
      </c>
      <c r="I32" s="2">
        <v>2024</v>
      </c>
      <c r="J32" s="1" t="s">
        <v>1053</v>
      </c>
      <c r="K32" s="1" t="s">
        <v>115</v>
      </c>
      <c r="L32" s="1" t="s">
        <v>1054</v>
      </c>
      <c r="M32" s="1">
        <v>94</v>
      </c>
      <c r="N32" s="1">
        <v>17</v>
      </c>
      <c r="O32" s="1">
        <v>7</v>
      </c>
      <c r="P32" s="1">
        <v>36</v>
      </c>
      <c r="Q32" s="1" t="s">
        <v>530</v>
      </c>
      <c r="R32" s="1" t="s">
        <v>531</v>
      </c>
      <c r="S32" s="1" t="s">
        <v>532</v>
      </c>
      <c r="T32" s="1" t="s">
        <v>1055</v>
      </c>
      <c r="U32" s="1" t="s">
        <v>1056</v>
      </c>
      <c r="V32" s="1">
        <v>19</v>
      </c>
      <c r="W32" s="1">
        <v>12</v>
      </c>
      <c r="X32" s="1" t="s">
        <v>1058</v>
      </c>
      <c r="Y32" s="1" t="str">
        <f>HYPERLINK("http://dx.doi.org/10.1108/IJOEM-05-2022-0876","http://dx.doi.org/10.1108/IJOEM-05-2022-0876")</f>
        <v>http://dx.doi.org/10.1108/IJOEM-05-2022-0876</v>
      </c>
      <c r="Z32" s="1">
        <v>17</v>
      </c>
      <c r="AA32" s="1" t="s">
        <v>1059</v>
      </c>
      <c r="AB32" s="1" t="s">
        <v>106</v>
      </c>
      <c r="AC32" s="1" t="s">
        <v>510</v>
      </c>
      <c r="AD32" s="1" t="s">
        <v>48</v>
      </c>
      <c r="AE32" s="1" t="s">
        <v>48</v>
      </c>
    </row>
    <row r="33" spans="1:31" s="1" customFormat="1" ht="18.5" x14ac:dyDescent="0.45">
      <c r="A33" s="1" t="s">
        <v>324</v>
      </c>
      <c r="B33" s="1" t="s">
        <v>325</v>
      </c>
      <c r="C33" s="1" t="s">
        <v>1074</v>
      </c>
      <c r="D33" s="1" t="s">
        <v>1075</v>
      </c>
      <c r="E33" s="1" t="s">
        <v>111</v>
      </c>
      <c r="F33" s="1" t="s">
        <v>1076</v>
      </c>
      <c r="G33" s="1" t="s">
        <v>1077</v>
      </c>
      <c r="H33" s="1" t="s">
        <v>1078</v>
      </c>
      <c r="I33" s="2">
        <v>2024</v>
      </c>
      <c r="J33" s="1" t="s">
        <v>1079</v>
      </c>
      <c r="K33" s="1" t="s">
        <v>115</v>
      </c>
      <c r="L33" s="1" t="s">
        <v>1080</v>
      </c>
      <c r="M33" s="1">
        <v>66</v>
      </c>
      <c r="N33" s="1">
        <v>0</v>
      </c>
      <c r="O33" s="1">
        <v>2</v>
      </c>
      <c r="P33" s="1">
        <v>2</v>
      </c>
      <c r="Q33" s="1" t="s">
        <v>503</v>
      </c>
      <c r="R33" s="1" t="s">
        <v>504</v>
      </c>
      <c r="S33" s="1" t="s">
        <v>505</v>
      </c>
      <c r="T33" s="1" t="s">
        <v>1081</v>
      </c>
      <c r="U33" s="1" t="s">
        <v>1082</v>
      </c>
      <c r="V33" s="1" t="s">
        <v>48</v>
      </c>
      <c r="W33" s="1" t="s">
        <v>48</v>
      </c>
      <c r="X33" s="1" t="s">
        <v>1083</v>
      </c>
      <c r="Y33" s="1" t="str">
        <f>HYPERLINK("http://dx.doi.org/10.1007/s12088-024-01419-y","http://dx.doi.org/10.1007/s12088-024-01419-y")</f>
        <v>http://dx.doi.org/10.1007/s12088-024-01419-y</v>
      </c>
      <c r="Z33" s="1">
        <v>14</v>
      </c>
      <c r="AA33" s="1" t="s">
        <v>123</v>
      </c>
      <c r="AB33" s="1" t="s">
        <v>67</v>
      </c>
      <c r="AC33" s="1" t="s">
        <v>123</v>
      </c>
      <c r="AD33" s="1" t="s">
        <v>48</v>
      </c>
      <c r="AE33" s="1" t="s">
        <v>48</v>
      </c>
    </row>
    <row r="34" spans="1:31" s="1" customFormat="1" ht="18.5" x14ac:dyDescent="0.45">
      <c r="A34" s="1" t="s">
        <v>1084</v>
      </c>
      <c r="B34" s="1" t="s">
        <v>1085</v>
      </c>
      <c r="C34" s="1" t="s">
        <v>1086</v>
      </c>
      <c r="D34" s="1" t="s">
        <v>225</v>
      </c>
      <c r="E34" s="1" t="s">
        <v>53</v>
      </c>
      <c r="F34" s="1" t="s">
        <v>1087</v>
      </c>
      <c r="G34" s="1" t="s">
        <v>1088</v>
      </c>
      <c r="H34" s="1" t="s">
        <v>1089</v>
      </c>
      <c r="I34" s="2">
        <v>2024</v>
      </c>
      <c r="J34" s="1" t="s">
        <v>1090</v>
      </c>
      <c r="K34" s="1" t="s">
        <v>58</v>
      </c>
      <c r="L34" s="1" t="s">
        <v>227</v>
      </c>
      <c r="M34" s="1">
        <v>56</v>
      </c>
      <c r="N34" s="1">
        <v>13</v>
      </c>
      <c r="O34" s="1">
        <v>9</v>
      </c>
      <c r="P34" s="1">
        <v>9</v>
      </c>
      <c r="Q34" s="1" t="s">
        <v>60</v>
      </c>
      <c r="R34" s="1" t="s">
        <v>61</v>
      </c>
      <c r="S34" s="1" t="s">
        <v>62</v>
      </c>
      <c r="T34" s="1" t="s">
        <v>228</v>
      </c>
      <c r="U34" s="1" t="s">
        <v>229</v>
      </c>
      <c r="V34" s="1">
        <v>363</v>
      </c>
      <c r="W34" s="1" t="s">
        <v>48</v>
      </c>
      <c r="X34" s="1" t="s">
        <v>1092</v>
      </c>
      <c r="Y34" s="1" t="str">
        <f>HYPERLINK("http://dx.doi.org/10.1016/j.apenergy.2024.123044","http://dx.doi.org/10.1016/j.apenergy.2024.123044")</f>
        <v>http://dx.doi.org/10.1016/j.apenergy.2024.123044</v>
      </c>
      <c r="Z34" s="1">
        <v>20</v>
      </c>
      <c r="AA34" s="1" t="s">
        <v>231</v>
      </c>
      <c r="AB34" s="1" t="s">
        <v>67</v>
      </c>
      <c r="AC34" s="1" t="s">
        <v>232</v>
      </c>
      <c r="AD34" s="1" t="s">
        <v>48</v>
      </c>
      <c r="AE34" s="1" t="s">
        <v>48</v>
      </c>
    </row>
    <row r="35" spans="1:31" s="1" customFormat="1" ht="18.5" x14ac:dyDescent="0.45">
      <c r="A35" s="1" t="s">
        <v>1093</v>
      </c>
      <c r="B35" s="1" t="s">
        <v>1094</v>
      </c>
      <c r="C35" s="1" t="s">
        <v>1095</v>
      </c>
      <c r="D35" s="1" t="s">
        <v>904</v>
      </c>
      <c r="E35" s="1" t="s">
        <v>53</v>
      </c>
      <c r="F35" s="1" t="s">
        <v>1096</v>
      </c>
      <c r="G35" s="1" t="s">
        <v>1097</v>
      </c>
      <c r="H35" s="1" t="s">
        <v>1098</v>
      </c>
      <c r="I35" s="2">
        <v>2024</v>
      </c>
      <c r="J35" s="1" t="s">
        <v>1099</v>
      </c>
      <c r="K35" s="1" t="s">
        <v>58</v>
      </c>
      <c r="L35" s="1" t="s">
        <v>1100</v>
      </c>
      <c r="M35" s="1">
        <v>54</v>
      </c>
      <c r="N35" s="1">
        <v>3</v>
      </c>
      <c r="O35" s="1">
        <v>0</v>
      </c>
      <c r="P35" s="1">
        <v>0</v>
      </c>
      <c r="Q35" s="1" t="s">
        <v>503</v>
      </c>
      <c r="R35" s="1" t="s">
        <v>542</v>
      </c>
      <c r="S35" s="1" t="s">
        <v>543</v>
      </c>
      <c r="T35" s="1" t="s">
        <v>907</v>
      </c>
      <c r="U35" s="1" t="s">
        <v>908</v>
      </c>
      <c r="V35" s="1">
        <v>196</v>
      </c>
      <c r="W35" s="1">
        <v>3</v>
      </c>
      <c r="X35" s="1" t="s">
        <v>1101</v>
      </c>
      <c r="Y35" s="1" t="str">
        <f>HYPERLINK("http://dx.doi.org/10.1007/s10661-024-12485-6","http://dx.doi.org/10.1007/s10661-024-12485-6")</f>
        <v>http://dx.doi.org/10.1007/s10661-024-12485-6</v>
      </c>
      <c r="Z35" s="1">
        <v>18</v>
      </c>
      <c r="AA35" s="1" t="s">
        <v>438</v>
      </c>
      <c r="AB35" s="1" t="s">
        <v>67</v>
      </c>
      <c r="AC35" s="1" t="s">
        <v>439</v>
      </c>
      <c r="AD35" s="1">
        <v>38418672</v>
      </c>
      <c r="AE35" s="1" t="s">
        <v>48</v>
      </c>
    </row>
    <row r="36" spans="1:31" s="1" customFormat="1" ht="18.5" x14ac:dyDescent="0.45">
      <c r="A36" s="1" t="s">
        <v>1102</v>
      </c>
      <c r="B36" s="1" t="s">
        <v>1103</v>
      </c>
      <c r="C36" s="1" t="s">
        <v>1104</v>
      </c>
      <c r="D36" s="1" t="s">
        <v>1105</v>
      </c>
      <c r="E36" s="1" t="s">
        <v>53</v>
      </c>
      <c r="F36" s="1" t="s">
        <v>48</v>
      </c>
      <c r="G36" s="1" t="s">
        <v>48</v>
      </c>
      <c r="H36" s="1" t="s">
        <v>1106</v>
      </c>
      <c r="I36" s="2">
        <v>2024</v>
      </c>
      <c r="J36" s="1" t="s">
        <v>1107</v>
      </c>
      <c r="K36" s="1" t="s">
        <v>58</v>
      </c>
      <c r="L36" s="1" t="s">
        <v>1108</v>
      </c>
      <c r="M36" s="1">
        <v>17</v>
      </c>
      <c r="N36" s="1">
        <v>0</v>
      </c>
      <c r="O36" s="1">
        <v>0</v>
      </c>
      <c r="P36" s="1">
        <v>1</v>
      </c>
      <c r="Q36" s="1" t="s">
        <v>285</v>
      </c>
      <c r="R36" s="1" t="s">
        <v>286</v>
      </c>
      <c r="S36" s="1" t="s">
        <v>287</v>
      </c>
      <c r="T36" s="1" t="s">
        <v>1109</v>
      </c>
      <c r="U36" s="1" t="s">
        <v>1110</v>
      </c>
      <c r="V36" s="1">
        <v>155</v>
      </c>
      <c r="W36" s="1">
        <v>4</v>
      </c>
      <c r="X36" s="1" t="s">
        <v>1111</v>
      </c>
      <c r="Y36" s="1" t="str">
        <f>HYPERLINK("http://dx.doi.org/10.1007/s00704-024-04845-6","http://dx.doi.org/10.1007/s00704-024-04845-6")</f>
        <v>http://dx.doi.org/10.1007/s00704-024-04845-6</v>
      </c>
      <c r="Z36" s="1">
        <v>11</v>
      </c>
      <c r="AA36" s="1" t="s">
        <v>1112</v>
      </c>
      <c r="AB36" s="1" t="s">
        <v>67</v>
      </c>
      <c r="AC36" s="1" t="s">
        <v>1112</v>
      </c>
      <c r="AD36" s="1" t="s">
        <v>48</v>
      </c>
      <c r="AE36" s="1" t="s">
        <v>48</v>
      </c>
    </row>
    <row r="37" spans="1:31" s="1" customFormat="1" ht="18.5" x14ac:dyDescent="0.45">
      <c r="A37" s="1" t="s">
        <v>1175</v>
      </c>
      <c r="B37" s="1" t="s">
        <v>1176</v>
      </c>
      <c r="C37" s="1" t="s">
        <v>1177</v>
      </c>
      <c r="D37" s="1" t="s">
        <v>1178</v>
      </c>
      <c r="E37" s="1" t="s">
        <v>53</v>
      </c>
      <c r="F37" s="1" t="s">
        <v>48</v>
      </c>
      <c r="G37" s="1" t="s">
        <v>1179</v>
      </c>
      <c r="H37" s="1" t="s">
        <v>1180</v>
      </c>
      <c r="I37" s="2">
        <v>2024</v>
      </c>
      <c r="J37" s="1" t="s">
        <v>1181</v>
      </c>
      <c r="K37" s="1" t="s">
        <v>58</v>
      </c>
      <c r="L37" s="1" t="s">
        <v>1182</v>
      </c>
      <c r="M37" s="1">
        <v>67</v>
      </c>
      <c r="N37" s="1">
        <v>3</v>
      </c>
      <c r="O37" s="1">
        <v>6</v>
      </c>
      <c r="P37" s="1">
        <v>6</v>
      </c>
      <c r="Q37" s="1" t="s">
        <v>1183</v>
      </c>
      <c r="R37" s="1" t="s">
        <v>1184</v>
      </c>
      <c r="S37" s="1" t="s">
        <v>1185</v>
      </c>
      <c r="T37" s="1" t="s">
        <v>1186</v>
      </c>
      <c r="U37" s="1" t="s">
        <v>1187</v>
      </c>
      <c r="V37" s="1">
        <v>40</v>
      </c>
      <c r="W37" s="1">
        <v>38</v>
      </c>
      <c r="X37" s="1" t="s">
        <v>1189</v>
      </c>
      <c r="Y37" s="1" t="str">
        <f>HYPERLINK("http://dx.doi.org/10.1021/acs.langmuir.4c02289","http://dx.doi.org/10.1021/acs.langmuir.4c02289")</f>
        <v>http://dx.doi.org/10.1021/acs.langmuir.4c02289</v>
      </c>
      <c r="Z37" s="1">
        <v>11</v>
      </c>
      <c r="AA37" s="1" t="s">
        <v>1190</v>
      </c>
      <c r="AB37" s="1" t="s">
        <v>67</v>
      </c>
      <c r="AC37" s="1" t="s">
        <v>1191</v>
      </c>
      <c r="AD37" s="1">
        <v>39276116</v>
      </c>
      <c r="AE37" s="1" t="s">
        <v>48</v>
      </c>
    </row>
    <row r="38" spans="1:31" s="1" customFormat="1" ht="18.5" x14ac:dyDescent="0.45">
      <c r="A38" s="1" t="s">
        <v>1192</v>
      </c>
      <c r="B38" s="1" t="s">
        <v>1193</v>
      </c>
      <c r="C38" s="1" t="s">
        <v>1194</v>
      </c>
      <c r="D38" s="1" t="s">
        <v>811</v>
      </c>
      <c r="E38" s="1" t="s">
        <v>53</v>
      </c>
      <c r="F38" s="1" t="s">
        <v>1195</v>
      </c>
      <c r="G38" s="1" t="s">
        <v>1196</v>
      </c>
      <c r="H38" s="1" t="s">
        <v>1197</v>
      </c>
      <c r="I38" s="2">
        <v>2024</v>
      </c>
      <c r="J38" s="1" t="s">
        <v>1198</v>
      </c>
      <c r="K38" s="1" t="s">
        <v>58</v>
      </c>
      <c r="L38" s="1" t="s">
        <v>1199</v>
      </c>
      <c r="M38" s="1">
        <v>48</v>
      </c>
      <c r="N38" s="1">
        <v>1</v>
      </c>
      <c r="O38" s="1">
        <v>0</v>
      </c>
      <c r="P38" s="1">
        <v>2</v>
      </c>
      <c r="Q38" s="1" t="s">
        <v>252</v>
      </c>
      <c r="R38" s="1" t="s">
        <v>253</v>
      </c>
      <c r="S38" s="1" t="s">
        <v>254</v>
      </c>
      <c r="T38" s="1" t="s">
        <v>814</v>
      </c>
      <c r="U38" s="1" t="s">
        <v>815</v>
      </c>
      <c r="V38" s="1">
        <v>31</v>
      </c>
      <c r="W38" s="1">
        <v>9</v>
      </c>
      <c r="X38" s="1" t="s">
        <v>1200</v>
      </c>
      <c r="Y38" s="1" t="str">
        <f>HYPERLINK("http://dx.doi.org/10.1007/s43032-024-01605-9","http://dx.doi.org/10.1007/s43032-024-01605-9")</f>
        <v>http://dx.doi.org/10.1007/s43032-024-01605-9</v>
      </c>
      <c r="Z38" s="1">
        <v>15</v>
      </c>
      <c r="AA38" s="1" t="s">
        <v>817</v>
      </c>
      <c r="AB38" s="1" t="s">
        <v>67</v>
      </c>
      <c r="AC38" s="1" t="s">
        <v>817</v>
      </c>
      <c r="AD38" s="1">
        <v>38844725</v>
      </c>
      <c r="AE38" s="1" t="s">
        <v>48</v>
      </c>
    </row>
    <row r="39" spans="1:31" s="1" customFormat="1" ht="18.5" x14ac:dyDescent="0.45">
      <c r="A39" s="1" t="s">
        <v>126</v>
      </c>
      <c r="B39" s="1" t="s">
        <v>127</v>
      </c>
      <c r="C39" s="1" t="s">
        <v>1201</v>
      </c>
      <c r="D39" s="1" t="s">
        <v>1202</v>
      </c>
      <c r="E39" s="1" t="s">
        <v>53</v>
      </c>
      <c r="F39" s="1" t="s">
        <v>1203</v>
      </c>
      <c r="G39" s="1" t="s">
        <v>1204</v>
      </c>
      <c r="H39" s="1" t="s">
        <v>1205</v>
      </c>
      <c r="I39" s="2">
        <v>2024</v>
      </c>
      <c r="J39" s="1" t="s">
        <v>1206</v>
      </c>
      <c r="K39" s="1" t="s">
        <v>58</v>
      </c>
      <c r="L39" s="1" t="s">
        <v>1207</v>
      </c>
      <c r="M39" s="1">
        <v>56</v>
      </c>
      <c r="N39" s="1">
        <v>6</v>
      </c>
      <c r="O39" s="1">
        <v>1</v>
      </c>
      <c r="P39" s="1">
        <v>4</v>
      </c>
      <c r="Q39" s="1" t="s">
        <v>79</v>
      </c>
      <c r="R39" s="1" t="s">
        <v>80</v>
      </c>
      <c r="S39" s="1" t="s">
        <v>81</v>
      </c>
      <c r="T39" s="1" t="s">
        <v>1208</v>
      </c>
      <c r="U39" s="1" t="s">
        <v>1209</v>
      </c>
      <c r="V39" s="1">
        <v>148</v>
      </c>
      <c r="W39" s="1" t="s">
        <v>48</v>
      </c>
      <c r="X39" s="1" t="s">
        <v>1210</v>
      </c>
      <c r="Y39" s="1" t="str">
        <f>HYPERLINK("http://dx.doi.org/10.1016/j.artmed.2024.102783","http://dx.doi.org/10.1016/j.artmed.2024.102783")</f>
        <v>http://dx.doi.org/10.1016/j.artmed.2024.102783</v>
      </c>
      <c r="Z39" s="1">
        <v>12</v>
      </c>
      <c r="AA39" s="1" t="s">
        <v>1211</v>
      </c>
      <c r="AB39" s="1" t="s">
        <v>67</v>
      </c>
      <c r="AC39" s="1" t="s">
        <v>1212</v>
      </c>
      <c r="AD39" s="1">
        <v>38325927</v>
      </c>
      <c r="AE39" s="1" t="s">
        <v>48</v>
      </c>
    </row>
    <row r="40" spans="1:31" s="1" customFormat="1" ht="18.5" x14ac:dyDescent="0.45">
      <c r="A40" s="1" t="s">
        <v>1250</v>
      </c>
      <c r="B40" s="1" t="s">
        <v>1251</v>
      </c>
      <c r="C40" s="1" t="s">
        <v>1252</v>
      </c>
      <c r="D40" s="1" t="s">
        <v>1253</v>
      </c>
      <c r="E40" s="1" t="s">
        <v>53</v>
      </c>
      <c r="F40" s="1" t="s">
        <v>1254</v>
      </c>
      <c r="G40" s="1" t="s">
        <v>48</v>
      </c>
      <c r="H40" s="1" t="s">
        <v>1255</v>
      </c>
      <c r="I40" s="2">
        <v>2024</v>
      </c>
      <c r="J40" s="1" t="s">
        <v>1256</v>
      </c>
      <c r="K40" s="1" t="s">
        <v>58</v>
      </c>
      <c r="L40" s="1" t="s">
        <v>1257</v>
      </c>
      <c r="M40" s="1">
        <v>34</v>
      </c>
      <c r="N40" s="1">
        <v>1</v>
      </c>
      <c r="O40" s="1">
        <v>2</v>
      </c>
      <c r="P40" s="1">
        <v>2</v>
      </c>
      <c r="Q40" s="1" t="s">
        <v>145</v>
      </c>
      <c r="R40" s="1" t="s">
        <v>146</v>
      </c>
      <c r="S40" s="1" t="s">
        <v>147</v>
      </c>
      <c r="T40" s="1" t="s">
        <v>1258</v>
      </c>
      <c r="U40" s="1" t="s">
        <v>1259</v>
      </c>
      <c r="V40" s="1">
        <v>27</v>
      </c>
      <c r="W40" s="1">
        <v>1</v>
      </c>
      <c r="X40" s="1" t="s">
        <v>1261</v>
      </c>
      <c r="Y40" s="1" t="str">
        <f>HYPERLINK("http://dx.doi.org/10.1080/13688790.2024.2320089","http://dx.doi.org/10.1080/13688790.2024.2320089")</f>
        <v>http://dx.doi.org/10.1080/13688790.2024.2320089</v>
      </c>
      <c r="Z40" s="1">
        <v>15</v>
      </c>
      <c r="AA40" s="1" t="s">
        <v>1262</v>
      </c>
      <c r="AB40" s="1" t="s">
        <v>611</v>
      </c>
      <c r="AC40" s="1" t="s">
        <v>1262</v>
      </c>
      <c r="AD40" s="1" t="s">
        <v>48</v>
      </c>
      <c r="AE40" s="1" t="s">
        <v>48</v>
      </c>
    </row>
    <row r="41" spans="1:31" s="1" customFormat="1" ht="18.5" x14ac:dyDescent="0.45">
      <c r="A41" s="1" t="s">
        <v>1326</v>
      </c>
      <c r="B41" s="1" t="s">
        <v>1327</v>
      </c>
      <c r="C41" s="1" t="s">
        <v>1328</v>
      </c>
      <c r="D41" s="1" t="s">
        <v>1329</v>
      </c>
      <c r="E41" s="1" t="s">
        <v>53</v>
      </c>
      <c r="F41" s="1" t="s">
        <v>1330</v>
      </c>
      <c r="G41" s="1" t="s">
        <v>1331</v>
      </c>
      <c r="H41" s="1" t="s">
        <v>1332</v>
      </c>
      <c r="I41" s="2">
        <v>2024</v>
      </c>
      <c r="J41" s="1" t="s">
        <v>1333</v>
      </c>
      <c r="K41" s="1" t="s">
        <v>115</v>
      </c>
      <c r="L41" s="1" t="s">
        <v>1334</v>
      </c>
      <c r="M41" s="1">
        <v>60</v>
      </c>
      <c r="N41" s="1">
        <v>1</v>
      </c>
      <c r="O41" s="1">
        <v>2</v>
      </c>
      <c r="P41" s="1">
        <v>2</v>
      </c>
      <c r="Q41" s="1" t="s">
        <v>1335</v>
      </c>
      <c r="R41" s="1" t="s">
        <v>1336</v>
      </c>
      <c r="S41" s="1" t="s">
        <v>1337</v>
      </c>
      <c r="T41" s="1" t="s">
        <v>1338</v>
      </c>
      <c r="U41" s="1" t="s">
        <v>1339</v>
      </c>
      <c r="V41" s="1">
        <v>5</v>
      </c>
      <c r="W41" s="1">
        <v>1</v>
      </c>
      <c r="X41" s="1" t="s">
        <v>1342</v>
      </c>
      <c r="Y41" s="1" t="str">
        <f>HYPERLINK("http://dx.doi.org/10.1016/j.regsus.2024.100141","http://dx.doi.org/10.1016/j.regsus.2024.100141")</f>
        <v>http://dx.doi.org/10.1016/j.regsus.2024.100141</v>
      </c>
      <c r="Z41" s="1">
        <v>14</v>
      </c>
      <c r="AA41" s="1" t="s">
        <v>1343</v>
      </c>
      <c r="AB41" s="1" t="s">
        <v>124</v>
      </c>
      <c r="AC41" s="1" t="s">
        <v>439</v>
      </c>
      <c r="AD41" s="1" t="s">
        <v>48</v>
      </c>
      <c r="AE41" s="1" t="s">
        <v>125</v>
      </c>
    </row>
    <row r="42" spans="1:31" s="1" customFormat="1" ht="18.5" x14ac:dyDescent="0.45">
      <c r="A42" s="1" t="s">
        <v>1344</v>
      </c>
      <c r="B42" s="1" t="s">
        <v>1345</v>
      </c>
      <c r="C42" s="1" t="s">
        <v>1346</v>
      </c>
      <c r="D42" s="1" t="s">
        <v>571</v>
      </c>
      <c r="E42" s="1" t="s">
        <v>53</v>
      </c>
      <c r="F42" s="1" t="s">
        <v>1347</v>
      </c>
      <c r="G42" s="1" t="s">
        <v>1348</v>
      </c>
      <c r="H42" s="1" t="s">
        <v>1349</v>
      </c>
      <c r="I42" s="2">
        <v>2024</v>
      </c>
      <c r="J42" s="1" t="s">
        <v>1350</v>
      </c>
      <c r="K42" s="1" t="s">
        <v>58</v>
      </c>
      <c r="L42" s="1" t="s">
        <v>1351</v>
      </c>
      <c r="M42" s="1">
        <v>53</v>
      </c>
      <c r="N42" s="1">
        <v>1</v>
      </c>
      <c r="O42" s="1">
        <v>2</v>
      </c>
      <c r="P42" s="1">
        <v>7</v>
      </c>
      <c r="Q42" s="1" t="s">
        <v>572</v>
      </c>
      <c r="R42" s="1" t="s">
        <v>573</v>
      </c>
      <c r="S42" s="1" t="s">
        <v>574</v>
      </c>
      <c r="T42" s="1" t="s">
        <v>575</v>
      </c>
      <c r="U42" s="1" t="s">
        <v>576</v>
      </c>
      <c r="V42" s="1">
        <v>58</v>
      </c>
      <c r="W42" s="1">
        <v>1</v>
      </c>
      <c r="X42" s="1" t="s">
        <v>1352</v>
      </c>
      <c r="Y42" s="1" t="str">
        <f>HYPERLINK("http://dx.doi.org/10.1051/ro/2023087","http://dx.doi.org/10.1051/ro/2023087")</f>
        <v>http://dx.doi.org/10.1051/ro/2023087</v>
      </c>
      <c r="Z42" s="1">
        <v>33</v>
      </c>
      <c r="AA42" s="1" t="s">
        <v>580</v>
      </c>
      <c r="AB42" s="1" t="s">
        <v>67</v>
      </c>
      <c r="AC42" s="1" t="s">
        <v>580</v>
      </c>
      <c r="AD42" s="1" t="s">
        <v>48</v>
      </c>
      <c r="AE42" s="1" t="s">
        <v>581</v>
      </c>
    </row>
    <row r="43" spans="1:31" s="1" customFormat="1" ht="18.5" x14ac:dyDescent="0.45">
      <c r="A43" s="1" t="s">
        <v>637</v>
      </c>
      <c r="B43" s="1" t="s">
        <v>638</v>
      </c>
      <c r="C43" s="1" t="s">
        <v>1393</v>
      </c>
      <c r="D43" s="1" t="s">
        <v>1369</v>
      </c>
      <c r="E43" s="1" t="s">
        <v>53</v>
      </c>
      <c r="F43" s="1" t="s">
        <v>1394</v>
      </c>
      <c r="G43" s="1" t="s">
        <v>1395</v>
      </c>
      <c r="H43" s="1" t="s">
        <v>1396</v>
      </c>
      <c r="I43" s="2">
        <v>2024</v>
      </c>
      <c r="J43" s="1" t="s">
        <v>1397</v>
      </c>
      <c r="K43" s="1" t="s">
        <v>115</v>
      </c>
      <c r="L43" s="1" t="s">
        <v>1398</v>
      </c>
      <c r="M43" s="1">
        <v>53</v>
      </c>
      <c r="N43" s="1">
        <v>1</v>
      </c>
      <c r="O43" s="1">
        <v>9</v>
      </c>
      <c r="P43" s="1">
        <v>9</v>
      </c>
      <c r="Q43" s="1" t="s">
        <v>503</v>
      </c>
      <c r="R43" s="1" t="s">
        <v>542</v>
      </c>
      <c r="S43" s="1" t="s">
        <v>543</v>
      </c>
      <c r="T43" s="1" t="s">
        <v>1371</v>
      </c>
      <c r="U43" s="1" t="s">
        <v>1372</v>
      </c>
      <c r="V43" s="1">
        <v>112</v>
      </c>
      <c r="W43" s="1">
        <v>24</v>
      </c>
      <c r="X43" s="1" t="s">
        <v>1399</v>
      </c>
      <c r="Y43" s="1" t="str">
        <f>HYPERLINK("http://dx.doi.org/10.1007/s11071-024-10193-x","http://dx.doi.org/10.1007/s11071-024-10193-x")</f>
        <v>http://dx.doi.org/10.1007/s11071-024-10193-x</v>
      </c>
      <c r="Z43" s="1">
        <v>30</v>
      </c>
      <c r="AA43" s="1" t="s">
        <v>1374</v>
      </c>
      <c r="AB43" s="1" t="s">
        <v>67</v>
      </c>
      <c r="AC43" s="1" t="s">
        <v>1375</v>
      </c>
      <c r="AD43" s="1" t="s">
        <v>48</v>
      </c>
      <c r="AE43" s="1" t="s">
        <v>48</v>
      </c>
    </row>
    <row r="44" spans="1:31" s="1" customFormat="1" ht="18.5" x14ac:dyDescent="0.45">
      <c r="A44" s="1" t="s">
        <v>976</v>
      </c>
      <c r="B44" s="1" t="s">
        <v>977</v>
      </c>
      <c r="C44" s="1" t="s">
        <v>1400</v>
      </c>
      <c r="D44" s="1" t="s">
        <v>1401</v>
      </c>
      <c r="E44" s="1" t="s">
        <v>53</v>
      </c>
      <c r="F44" s="1" t="s">
        <v>1402</v>
      </c>
      <c r="G44" s="1" t="s">
        <v>1403</v>
      </c>
      <c r="H44" s="1" t="s">
        <v>1404</v>
      </c>
      <c r="I44" s="2">
        <v>2024</v>
      </c>
      <c r="J44" s="1" t="s">
        <v>1405</v>
      </c>
      <c r="K44" s="1" t="s">
        <v>58</v>
      </c>
      <c r="L44" s="1" t="s">
        <v>1406</v>
      </c>
      <c r="M44" s="1">
        <v>95</v>
      </c>
      <c r="N44" s="1">
        <v>7</v>
      </c>
      <c r="O44" s="1">
        <v>27</v>
      </c>
      <c r="P44" s="1">
        <v>58</v>
      </c>
      <c r="Q44" s="1" t="s">
        <v>1407</v>
      </c>
      <c r="R44" s="1" t="s">
        <v>632</v>
      </c>
      <c r="S44" s="1" t="s">
        <v>1408</v>
      </c>
      <c r="T44" s="1" t="s">
        <v>1409</v>
      </c>
      <c r="U44" s="1" t="s">
        <v>1410</v>
      </c>
      <c r="V44" s="1">
        <v>353</v>
      </c>
      <c r="W44" s="1" t="s">
        <v>48</v>
      </c>
      <c r="X44" s="1" t="s">
        <v>1413</v>
      </c>
      <c r="Y44" s="1" t="str">
        <f>HYPERLINK("http://dx.doi.org/10.1016/j.jenvman.2024.120164","http://dx.doi.org/10.1016/j.jenvman.2024.120164")</f>
        <v>http://dx.doi.org/10.1016/j.jenvman.2024.120164</v>
      </c>
      <c r="Z44" s="1">
        <v>23</v>
      </c>
      <c r="AA44" s="1" t="s">
        <v>438</v>
      </c>
      <c r="AB44" s="1" t="s">
        <v>67</v>
      </c>
      <c r="AC44" s="1" t="s">
        <v>439</v>
      </c>
      <c r="AD44" s="1">
        <v>38295642</v>
      </c>
      <c r="AE44" s="1" t="s">
        <v>48</v>
      </c>
    </row>
    <row r="45" spans="1:31" s="1" customFormat="1" ht="18.5" x14ac:dyDescent="0.45">
      <c r="A45" s="1" t="s">
        <v>945</v>
      </c>
      <c r="B45" s="1" t="s">
        <v>946</v>
      </c>
      <c r="C45" s="1" t="s">
        <v>1463</v>
      </c>
      <c r="D45" s="1" t="s">
        <v>1464</v>
      </c>
      <c r="E45" s="1" t="s">
        <v>94</v>
      </c>
      <c r="F45" s="1" t="s">
        <v>48</v>
      </c>
      <c r="G45" s="1" t="s">
        <v>48</v>
      </c>
      <c r="H45" s="1" t="s">
        <v>48</v>
      </c>
      <c r="I45" s="2">
        <v>2024</v>
      </c>
      <c r="J45" s="1" t="s">
        <v>949</v>
      </c>
      <c r="K45" s="1" t="s">
        <v>58</v>
      </c>
      <c r="L45" s="1" t="s">
        <v>950</v>
      </c>
      <c r="M45" s="1">
        <v>0</v>
      </c>
      <c r="N45" s="1">
        <v>0</v>
      </c>
      <c r="O45" s="1">
        <v>0</v>
      </c>
      <c r="P45" s="1">
        <v>0</v>
      </c>
      <c r="Q45" s="1" t="s">
        <v>1465</v>
      </c>
      <c r="R45" s="1" t="s">
        <v>361</v>
      </c>
      <c r="S45" s="1" t="s">
        <v>1466</v>
      </c>
      <c r="T45" s="1" t="s">
        <v>1467</v>
      </c>
      <c r="U45" s="1" t="s">
        <v>1468</v>
      </c>
      <c r="V45" s="1">
        <v>21</v>
      </c>
      <c r="W45" s="1">
        <v>2</v>
      </c>
      <c r="X45" s="1" t="s">
        <v>1471</v>
      </c>
      <c r="Y45" s="1" t="str">
        <f>HYPERLINK("http://dx.doi.org/10.1017/S147959142400007X","http://dx.doi.org/10.1017/S147959142400007X")</f>
        <v>http://dx.doi.org/10.1017/S147959142400007X</v>
      </c>
      <c r="Z45" s="1">
        <v>4</v>
      </c>
      <c r="AA45" s="1" t="s">
        <v>152</v>
      </c>
      <c r="AB45" s="1" t="s">
        <v>178</v>
      </c>
      <c r="AC45" s="1" t="s">
        <v>152</v>
      </c>
      <c r="AD45" s="1" t="s">
        <v>48</v>
      </c>
      <c r="AE45" s="1" t="s">
        <v>48</v>
      </c>
    </row>
    <row r="46" spans="1:31" s="1" customFormat="1" ht="18.5" x14ac:dyDescent="0.45">
      <c r="A46" s="1" t="s">
        <v>1472</v>
      </c>
      <c r="B46" s="1" t="s">
        <v>1473</v>
      </c>
      <c r="C46" s="1" t="s">
        <v>1474</v>
      </c>
      <c r="D46" s="1" t="s">
        <v>1475</v>
      </c>
      <c r="E46" s="1" t="s">
        <v>111</v>
      </c>
      <c r="F46" s="1" t="s">
        <v>1476</v>
      </c>
      <c r="G46" s="1" t="s">
        <v>1477</v>
      </c>
      <c r="H46" s="1" t="s">
        <v>1478</v>
      </c>
      <c r="I46" s="2">
        <v>2024</v>
      </c>
      <c r="J46" s="1" t="s">
        <v>1479</v>
      </c>
      <c r="K46" s="1" t="s">
        <v>58</v>
      </c>
      <c r="L46" s="1" t="s">
        <v>1480</v>
      </c>
      <c r="M46" s="1">
        <v>74</v>
      </c>
      <c r="N46" s="1">
        <v>0</v>
      </c>
      <c r="O46" s="1">
        <v>0</v>
      </c>
      <c r="P46" s="1">
        <v>6</v>
      </c>
      <c r="Q46" s="1" t="s">
        <v>605</v>
      </c>
      <c r="R46" s="1" t="s">
        <v>239</v>
      </c>
      <c r="S46" s="1" t="s">
        <v>606</v>
      </c>
      <c r="T46" s="1" t="s">
        <v>1481</v>
      </c>
      <c r="U46" s="1" t="s">
        <v>1482</v>
      </c>
      <c r="V46" s="1" t="s">
        <v>48</v>
      </c>
      <c r="W46" s="1" t="s">
        <v>48</v>
      </c>
      <c r="X46" s="1" t="s">
        <v>1483</v>
      </c>
      <c r="Y46" s="1" t="str">
        <f>HYPERLINK("http://dx.doi.org/10.1177/02601079231214859","http://dx.doi.org/10.1177/02601079231214859")</f>
        <v>http://dx.doi.org/10.1177/02601079231214859</v>
      </c>
      <c r="Z46" s="1">
        <v>20</v>
      </c>
      <c r="AA46" s="1" t="s">
        <v>509</v>
      </c>
      <c r="AB46" s="1" t="s">
        <v>124</v>
      </c>
      <c r="AC46" s="1" t="s">
        <v>510</v>
      </c>
      <c r="AD46" s="1" t="s">
        <v>48</v>
      </c>
      <c r="AE46" s="1" t="s">
        <v>48</v>
      </c>
    </row>
    <row r="47" spans="1:31" s="1" customFormat="1" ht="18.5" x14ac:dyDescent="0.45">
      <c r="A47" s="1" t="s">
        <v>1093</v>
      </c>
      <c r="B47" s="1" t="s">
        <v>1094</v>
      </c>
      <c r="C47" s="1" t="s">
        <v>1529</v>
      </c>
      <c r="D47" s="1" t="s">
        <v>904</v>
      </c>
      <c r="E47" s="1" t="s">
        <v>53</v>
      </c>
      <c r="F47" s="1" t="s">
        <v>1530</v>
      </c>
      <c r="G47" s="1" t="s">
        <v>1531</v>
      </c>
      <c r="H47" s="1" t="s">
        <v>1532</v>
      </c>
      <c r="I47" s="2">
        <v>2024</v>
      </c>
      <c r="J47" s="1" t="s">
        <v>1533</v>
      </c>
      <c r="K47" s="1" t="s">
        <v>58</v>
      </c>
      <c r="L47" s="1" t="s">
        <v>1534</v>
      </c>
      <c r="M47" s="1">
        <v>32</v>
      </c>
      <c r="N47" s="1">
        <v>0</v>
      </c>
      <c r="O47" s="1">
        <v>1</v>
      </c>
      <c r="P47" s="1">
        <v>1</v>
      </c>
      <c r="Q47" s="1" t="s">
        <v>503</v>
      </c>
      <c r="R47" s="1" t="s">
        <v>542</v>
      </c>
      <c r="S47" s="1" t="s">
        <v>543</v>
      </c>
      <c r="T47" s="1" t="s">
        <v>907</v>
      </c>
      <c r="U47" s="1" t="s">
        <v>908</v>
      </c>
      <c r="V47" s="1">
        <v>196</v>
      </c>
      <c r="W47" s="1">
        <v>10</v>
      </c>
      <c r="X47" s="1" t="s">
        <v>1535</v>
      </c>
      <c r="Y47" s="1" t="str">
        <f>HYPERLINK("http://dx.doi.org/10.1007/s10661-024-13183-z","http://dx.doi.org/10.1007/s10661-024-13183-z")</f>
        <v>http://dx.doi.org/10.1007/s10661-024-13183-z</v>
      </c>
      <c r="Z47" s="1">
        <v>18</v>
      </c>
      <c r="AA47" s="1" t="s">
        <v>438</v>
      </c>
      <c r="AB47" s="1" t="s">
        <v>67</v>
      </c>
      <c r="AC47" s="1" t="s">
        <v>439</v>
      </c>
      <c r="AD47" s="1">
        <v>39354194</v>
      </c>
      <c r="AE47" s="1" t="s">
        <v>48</v>
      </c>
    </row>
    <row r="48" spans="1:31" s="1" customFormat="1" ht="18.5" x14ac:dyDescent="0.45">
      <c r="A48" s="1" t="s">
        <v>1536</v>
      </c>
      <c r="B48" s="1" t="s">
        <v>1537</v>
      </c>
      <c r="C48" s="1" t="s">
        <v>1538</v>
      </c>
      <c r="D48" s="1" t="s">
        <v>513</v>
      </c>
      <c r="E48" s="1" t="s">
        <v>53</v>
      </c>
      <c r="F48" s="1" t="s">
        <v>1539</v>
      </c>
      <c r="G48" s="1" t="s">
        <v>1540</v>
      </c>
      <c r="H48" s="1" t="s">
        <v>1541</v>
      </c>
      <c r="I48" s="2">
        <v>2024</v>
      </c>
      <c r="J48" s="1" t="s">
        <v>1542</v>
      </c>
      <c r="K48" s="1" t="s">
        <v>115</v>
      </c>
      <c r="L48" s="1" t="s">
        <v>1543</v>
      </c>
      <c r="M48" s="1">
        <v>29</v>
      </c>
      <c r="N48" s="1">
        <v>0</v>
      </c>
      <c r="O48" s="1">
        <v>0</v>
      </c>
      <c r="P48" s="1">
        <v>0</v>
      </c>
      <c r="Q48" s="1" t="s">
        <v>517</v>
      </c>
      <c r="R48" s="1" t="s">
        <v>239</v>
      </c>
      <c r="S48" s="1" t="s">
        <v>518</v>
      </c>
      <c r="T48" s="1" t="s">
        <v>519</v>
      </c>
      <c r="U48" s="1" t="s">
        <v>520</v>
      </c>
      <c r="V48" s="1">
        <v>62</v>
      </c>
      <c r="W48" s="1">
        <v>7</v>
      </c>
      <c r="X48" s="1" t="s">
        <v>1544</v>
      </c>
      <c r="Y48" s="1" t="str">
        <f>HYPERLINK("http://dx.doi.org/10.56042/ijeb.v62i07.12072","http://dx.doi.org/10.56042/ijeb.v62i07.12072")</f>
        <v>http://dx.doi.org/10.56042/ijeb.v62i07.12072</v>
      </c>
      <c r="Z48" s="1">
        <v>9</v>
      </c>
      <c r="AA48" s="1" t="s">
        <v>522</v>
      </c>
      <c r="AB48" s="1" t="s">
        <v>67</v>
      </c>
      <c r="AC48" s="1" t="s">
        <v>523</v>
      </c>
      <c r="AD48" s="1" t="s">
        <v>48</v>
      </c>
      <c r="AE48" s="1" t="s">
        <v>125</v>
      </c>
    </row>
    <row r="49" spans="1:31" s="1" customFormat="1" ht="18.5" x14ac:dyDescent="0.45">
      <c r="A49" s="1" t="s">
        <v>1545</v>
      </c>
      <c r="B49" s="1" t="s">
        <v>1546</v>
      </c>
      <c r="C49" s="1" t="s">
        <v>1547</v>
      </c>
      <c r="D49" s="1" t="s">
        <v>1548</v>
      </c>
      <c r="E49" s="1" t="s">
        <v>53</v>
      </c>
      <c r="F49" s="1" t="s">
        <v>1549</v>
      </c>
      <c r="G49" s="1" t="s">
        <v>1550</v>
      </c>
      <c r="H49" s="1" t="s">
        <v>1551</v>
      </c>
      <c r="I49" s="2">
        <v>2024</v>
      </c>
      <c r="J49" s="1" t="s">
        <v>1552</v>
      </c>
      <c r="K49" s="1" t="s">
        <v>58</v>
      </c>
      <c r="L49" s="1" t="s">
        <v>1553</v>
      </c>
      <c r="M49" s="1">
        <v>96</v>
      </c>
      <c r="N49" s="1">
        <v>2</v>
      </c>
      <c r="O49" s="1">
        <v>2</v>
      </c>
      <c r="P49" s="1">
        <v>2</v>
      </c>
      <c r="Q49" s="1" t="s">
        <v>79</v>
      </c>
      <c r="R49" s="1" t="s">
        <v>80</v>
      </c>
      <c r="S49" s="1" t="s">
        <v>81</v>
      </c>
      <c r="T49" s="1" t="s">
        <v>1554</v>
      </c>
      <c r="U49" s="1" t="s">
        <v>1555</v>
      </c>
      <c r="V49" s="1">
        <v>926</v>
      </c>
      <c r="W49" s="1" t="s">
        <v>48</v>
      </c>
      <c r="X49" s="1" t="s">
        <v>1556</v>
      </c>
      <c r="Y49" s="1" t="str">
        <f>HYPERLINK("http://dx.doi.org/10.1016/j.gene.2024.148627","http://dx.doi.org/10.1016/j.gene.2024.148627")</f>
        <v>http://dx.doi.org/10.1016/j.gene.2024.148627</v>
      </c>
      <c r="Z49" s="1">
        <v>9</v>
      </c>
      <c r="AA49" s="1" t="s">
        <v>1557</v>
      </c>
      <c r="AB49" s="1" t="s">
        <v>67</v>
      </c>
      <c r="AC49" s="1" t="s">
        <v>1557</v>
      </c>
      <c r="AD49" s="1">
        <v>38823656</v>
      </c>
      <c r="AE49" s="1" t="s">
        <v>48</v>
      </c>
    </row>
    <row r="50" spans="1:31" s="1" customFormat="1" ht="18.5" x14ac:dyDescent="0.45">
      <c r="A50" s="1" t="s">
        <v>660</v>
      </c>
      <c r="B50" s="1" t="s">
        <v>661</v>
      </c>
      <c r="C50" s="1" t="s">
        <v>1558</v>
      </c>
      <c r="D50" s="1" t="s">
        <v>1559</v>
      </c>
      <c r="E50" s="1" t="s">
        <v>53</v>
      </c>
      <c r="F50" s="1" t="s">
        <v>1560</v>
      </c>
      <c r="G50" s="1" t="s">
        <v>1561</v>
      </c>
      <c r="H50" s="1" t="s">
        <v>1562</v>
      </c>
      <c r="I50" s="2">
        <v>2024</v>
      </c>
      <c r="J50" s="1" t="s">
        <v>664</v>
      </c>
      <c r="K50" s="1" t="s">
        <v>58</v>
      </c>
      <c r="L50" s="1" t="s">
        <v>665</v>
      </c>
      <c r="M50" s="1">
        <v>55</v>
      </c>
      <c r="N50" s="1">
        <v>0</v>
      </c>
      <c r="O50" s="1">
        <v>1</v>
      </c>
      <c r="P50" s="1">
        <v>3</v>
      </c>
      <c r="Q50" s="1" t="s">
        <v>60</v>
      </c>
      <c r="R50" s="1" t="s">
        <v>61</v>
      </c>
      <c r="S50" s="1" t="s">
        <v>62</v>
      </c>
      <c r="T50" s="1" t="s">
        <v>1563</v>
      </c>
      <c r="U50" s="1" t="s">
        <v>1564</v>
      </c>
      <c r="V50" s="1">
        <v>177</v>
      </c>
      <c r="W50" s="1" t="s">
        <v>48</v>
      </c>
      <c r="X50" s="1" t="s">
        <v>1565</v>
      </c>
      <c r="Y50" s="1" t="str">
        <f>HYPERLINK("http://dx.doi.org/10.1016/j.optlastec.2024.111169","http://dx.doi.org/10.1016/j.optlastec.2024.111169")</f>
        <v>http://dx.doi.org/10.1016/j.optlastec.2024.111169</v>
      </c>
      <c r="Z50" s="1">
        <v>13</v>
      </c>
      <c r="AA50" s="1" t="s">
        <v>754</v>
      </c>
      <c r="AB50" s="1" t="s">
        <v>67</v>
      </c>
      <c r="AC50" s="1" t="s">
        <v>755</v>
      </c>
      <c r="AD50" s="1" t="s">
        <v>48</v>
      </c>
      <c r="AE50" s="1" t="s">
        <v>48</v>
      </c>
    </row>
    <row r="51" spans="1:31" s="1" customFormat="1" ht="18.5" x14ac:dyDescent="0.45">
      <c r="A51" s="1" t="s">
        <v>1566</v>
      </c>
      <c r="B51" s="1" t="s">
        <v>1567</v>
      </c>
      <c r="C51" s="1" t="s">
        <v>1568</v>
      </c>
      <c r="D51" s="1" t="s">
        <v>110</v>
      </c>
      <c r="E51" s="1" t="s">
        <v>111</v>
      </c>
      <c r="F51" s="1" t="s">
        <v>1569</v>
      </c>
      <c r="G51" s="1" t="s">
        <v>48</v>
      </c>
      <c r="H51" s="1" t="s">
        <v>1570</v>
      </c>
      <c r="I51" s="2">
        <v>2024</v>
      </c>
      <c r="J51" s="1" t="s">
        <v>1571</v>
      </c>
      <c r="K51" s="1" t="s">
        <v>115</v>
      </c>
      <c r="L51" s="1" t="s">
        <v>1572</v>
      </c>
      <c r="M51" s="1">
        <v>27</v>
      </c>
      <c r="N51" s="1">
        <v>0</v>
      </c>
      <c r="O51" s="1">
        <v>3</v>
      </c>
      <c r="P51" s="1">
        <v>5</v>
      </c>
      <c r="Q51" s="1" t="s">
        <v>117</v>
      </c>
      <c r="R51" s="1" t="s">
        <v>118</v>
      </c>
      <c r="S51" s="1" t="s">
        <v>119</v>
      </c>
      <c r="T51" s="1" t="s">
        <v>120</v>
      </c>
      <c r="U51" s="1" t="s">
        <v>121</v>
      </c>
      <c r="V51" s="1" t="s">
        <v>48</v>
      </c>
      <c r="W51" s="1" t="s">
        <v>48</v>
      </c>
      <c r="X51" s="1" t="s">
        <v>1573</v>
      </c>
      <c r="Y51" s="1" t="str">
        <f>HYPERLINK("http://dx.doi.org/10.22207/JPAM.18.1.39","http://dx.doi.org/10.22207/JPAM.18.1.39")</f>
        <v>http://dx.doi.org/10.22207/JPAM.18.1.39</v>
      </c>
      <c r="Z51" s="1">
        <v>13</v>
      </c>
      <c r="AA51" s="1" t="s">
        <v>123</v>
      </c>
      <c r="AB51" s="1" t="s">
        <v>124</v>
      </c>
      <c r="AC51" s="1" t="s">
        <v>123</v>
      </c>
      <c r="AD51" s="1" t="s">
        <v>48</v>
      </c>
      <c r="AE51" s="1" t="s">
        <v>125</v>
      </c>
    </row>
    <row r="52" spans="1:31" s="1" customFormat="1" ht="18.5" x14ac:dyDescent="0.45">
      <c r="A52" s="1" t="s">
        <v>1594</v>
      </c>
      <c r="B52" s="1" t="s">
        <v>1595</v>
      </c>
      <c r="C52" s="1" t="s">
        <v>1596</v>
      </c>
      <c r="D52" s="1" t="s">
        <v>1597</v>
      </c>
      <c r="E52" s="1" t="s">
        <v>53</v>
      </c>
      <c r="F52" s="1" t="s">
        <v>1598</v>
      </c>
      <c r="G52" s="1" t="s">
        <v>1599</v>
      </c>
      <c r="H52" s="1" t="s">
        <v>1600</v>
      </c>
      <c r="I52" s="2">
        <v>2024</v>
      </c>
      <c r="J52" s="1" t="s">
        <v>1601</v>
      </c>
      <c r="K52" s="1" t="s">
        <v>58</v>
      </c>
      <c r="L52" s="1" t="s">
        <v>1602</v>
      </c>
      <c r="M52" s="1">
        <v>60</v>
      </c>
      <c r="N52" s="1">
        <v>1</v>
      </c>
      <c r="O52" s="1">
        <v>0</v>
      </c>
      <c r="P52" s="1">
        <v>0</v>
      </c>
      <c r="Q52" s="1" t="s">
        <v>252</v>
      </c>
      <c r="R52" s="1" t="s">
        <v>253</v>
      </c>
      <c r="S52" s="1" t="s">
        <v>254</v>
      </c>
      <c r="T52" s="1" t="s">
        <v>1603</v>
      </c>
      <c r="U52" s="1" t="s">
        <v>1604</v>
      </c>
      <c r="V52" s="1">
        <v>14</v>
      </c>
      <c r="W52" s="1">
        <v>12</v>
      </c>
      <c r="X52" s="1" t="s">
        <v>1606</v>
      </c>
      <c r="Y52" s="1" t="str">
        <f>HYPERLINK("http://dx.doi.org/10.1007/s13205-024-04117-0","http://dx.doi.org/10.1007/s13205-024-04117-0")</f>
        <v>http://dx.doi.org/10.1007/s13205-024-04117-0</v>
      </c>
      <c r="Z52" s="1">
        <v>18</v>
      </c>
      <c r="AA52" s="1" t="s">
        <v>1528</v>
      </c>
      <c r="AB52" s="1" t="s">
        <v>67</v>
      </c>
      <c r="AC52" s="1" t="s">
        <v>1528</v>
      </c>
      <c r="AD52" s="1">
        <v>39600302</v>
      </c>
      <c r="AE52" s="1" t="s">
        <v>48</v>
      </c>
    </row>
    <row r="53" spans="1:31" s="1" customFormat="1" ht="18.5" x14ac:dyDescent="0.45">
      <c r="A53" s="1" t="s">
        <v>1360</v>
      </c>
      <c r="B53" s="1" t="s">
        <v>1361</v>
      </c>
      <c r="C53" s="1" t="s">
        <v>1607</v>
      </c>
      <c r="D53" s="1" t="s">
        <v>1608</v>
      </c>
      <c r="E53" s="1" t="s">
        <v>94</v>
      </c>
      <c r="F53" s="1" t="s">
        <v>48</v>
      </c>
      <c r="G53" s="1" t="s">
        <v>48</v>
      </c>
      <c r="H53" s="1" t="s">
        <v>48</v>
      </c>
      <c r="I53" s="2">
        <v>2024</v>
      </c>
      <c r="J53" s="1" t="s">
        <v>1609</v>
      </c>
      <c r="K53" s="1" t="s">
        <v>58</v>
      </c>
      <c r="L53" s="1" t="s">
        <v>1610</v>
      </c>
      <c r="M53" s="1">
        <v>0</v>
      </c>
      <c r="N53" s="1">
        <v>0</v>
      </c>
      <c r="O53" s="1">
        <v>0</v>
      </c>
      <c r="P53" s="1">
        <v>0</v>
      </c>
      <c r="Q53" s="1" t="s">
        <v>145</v>
      </c>
      <c r="R53" s="1" t="s">
        <v>146</v>
      </c>
      <c r="S53" s="1" t="s">
        <v>147</v>
      </c>
      <c r="T53" s="1" t="s">
        <v>1611</v>
      </c>
      <c r="U53" s="1" t="s">
        <v>1612</v>
      </c>
      <c r="V53" s="1">
        <v>53</v>
      </c>
      <c r="W53" s="1" t="s">
        <v>1614</v>
      </c>
      <c r="X53" s="1" t="s">
        <v>1615</v>
      </c>
      <c r="Y53" s="1" t="str">
        <f>HYPERLINK("http://dx.doi.org/10.1080/00938157.2024.2383496","http://dx.doi.org/10.1080/00938157.2024.2383496")</f>
        <v>http://dx.doi.org/10.1080/00938157.2024.2383496</v>
      </c>
      <c r="Z53" s="1">
        <v>3</v>
      </c>
      <c r="AA53" s="1" t="s">
        <v>1616</v>
      </c>
      <c r="AB53" s="1" t="s">
        <v>124</v>
      </c>
      <c r="AC53" s="1" t="s">
        <v>1616</v>
      </c>
      <c r="AD53" s="1" t="s">
        <v>48</v>
      </c>
      <c r="AE53" s="1" t="s">
        <v>48</v>
      </c>
    </row>
    <row r="54" spans="1:31" s="1" customFormat="1" ht="18.5" x14ac:dyDescent="0.45">
      <c r="A54" s="1" t="s">
        <v>1617</v>
      </c>
      <c r="B54" s="1" t="s">
        <v>1618</v>
      </c>
      <c r="C54" s="1" t="s">
        <v>1619</v>
      </c>
      <c r="D54" s="1" t="s">
        <v>1620</v>
      </c>
      <c r="E54" s="1" t="s">
        <v>53</v>
      </c>
      <c r="F54" s="1" t="s">
        <v>1621</v>
      </c>
      <c r="G54" s="1" t="s">
        <v>1622</v>
      </c>
      <c r="H54" s="1" t="s">
        <v>1623</v>
      </c>
      <c r="I54" s="2">
        <v>2024</v>
      </c>
      <c r="J54" s="1" t="s">
        <v>1624</v>
      </c>
      <c r="K54" s="1" t="s">
        <v>58</v>
      </c>
      <c r="L54" s="1" t="s">
        <v>1625</v>
      </c>
      <c r="M54" s="1">
        <v>41</v>
      </c>
      <c r="N54" s="1">
        <v>0</v>
      </c>
      <c r="O54" s="1">
        <v>3</v>
      </c>
      <c r="P54" s="1">
        <v>4</v>
      </c>
      <c r="Q54" s="1" t="s">
        <v>1626</v>
      </c>
      <c r="R54" s="1" t="s">
        <v>1627</v>
      </c>
      <c r="S54" s="1" t="s">
        <v>1628</v>
      </c>
      <c r="T54" s="1" t="s">
        <v>1629</v>
      </c>
      <c r="U54" s="1" t="s">
        <v>48</v>
      </c>
      <c r="V54" s="1">
        <v>16</v>
      </c>
      <c r="W54" s="1">
        <v>10</v>
      </c>
      <c r="X54" s="1" t="s">
        <v>48</v>
      </c>
      <c r="Y54" s="1" t="s">
        <v>48</v>
      </c>
      <c r="Z54" s="1">
        <v>9</v>
      </c>
      <c r="AA54" s="1" t="s">
        <v>1630</v>
      </c>
      <c r="AB54" s="1" t="s">
        <v>124</v>
      </c>
      <c r="AC54" s="1" t="s">
        <v>510</v>
      </c>
      <c r="AD54" s="1" t="s">
        <v>48</v>
      </c>
      <c r="AE54" s="1" t="s">
        <v>48</v>
      </c>
    </row>
    <row r="55" spans="1:31" s="1" customFormat="1" ht="18.5" x14ac:dyDescent="0.45">
      <c r="A55" s="1" t="s">
        <v>390</v>
      </c>
      <c r="B55" s="1" t="s">
        <v>1631</v>
      </c>
      <c r="C55" s="1" t="s">
        <v>1632</v>
      </c>
      <c r="D55" s="1" t="s">
        <v>308</v>
      </c>
      <c r="E55" s="1" t="s">
        <v>53</v>
      </c>
      <c r="F55" s="1" t="s">
        <v>1633</v>
      </c>
      <c r="G55" s="1" t="s">
        <v>1634</v>
      </c>
      <c r="H55" s="1" t="s">
        <v>1635</v>
      </c>
      <c r="I55" s="2">
        <v>2024</v>
      </c>
      <c r="J55" s="1" t="s">
        <v>1636</v>
      </c>
      <c r="K55" s="1" t="s">
        <v>58</v>
      </c>
      <c r="L55" s="1" t="s">
        <v>227</v>
      </c>
      <c r="M55" s="1">
        <v>51</v>
      </c>
      <c r="N55" s="1">
        <v>2</v>
      </c>
      <c r="O55" s="1">
        <v>3</v>
      </c>
      <c r="P55" s="1">
        <v>6</v>
      </c>
      <c r="Q55" s="1" t="s">
        <v>313</v>
      </c>
      <c r="R55" s="1" t="s">
        <v>314</v>
      </c>
      <c r="S55" s="1" t="s">
        <v>315</v>
      </c>
      <c r="T55" s="1" t="s">
        <v>316</v>
      </c>
      <c r="U55" s="1" t="s">
        <v>317</v>
      </c>
      <c r="V55" s="1">
        <v>20</v>
      </c>
      <c r="W55" s="1">
        <v>9</v>
      </c>
      <c r="X55" s="1" t="s">
        <v>1637</v>
      </c>
      <c r="Y55" s="1" t="str">
        <f>HYPERLINK("http://dx.doi.org/10.3934/jimo.2024034","http://dx.doi.org/10.3934/jimo.2024034")</f>
        <v>http://dx.doi.org/10.3934/jimo.2024034</v>
      </c>
      <c r="Z55" s="1">
        <v>20</v>
      </c>
      <c r="AA55" s="1" t="s">
        <v>322</v>
      </c>
      <c r="AB55" s="1" t="s">
        <v>67</v>
      </c>
      <c r="AC55" s="1" t="s">
        <v>323</v>
      </c>
      <c r="AD55" s="1" t="s">
        <v>48</v>
      </c>
      <c r="AE55" s="1" t="s">
        <v>125</v>
      </c>
    </row>
    <row r="56" spans="1:31" s="1" customFormat="1" ht="18.5" x14ac:dyDescent="0.45">
      <c r="A56" s="1" t="s">
        <v>354</v>
      </c>
      <c r="B56" s="1" t="s">
        <v>355</v>
      </c>
      <c r="C56" s="1" t="s">
        <v>1638</v>
      </c>
      <c r="D56" s="1" t="s">
        <v>1639</v>
      </c>
      <c r="E56" s="1" t="s">
        <v>53</v>
      </c>
      <c r="F56" s="1" t="s">
        <v>48</v>
      </c>
      <c r="G56" s="1" t="s">
        <v>1640</v>
      </c>
      <c r="H56" s="1" t="s">
        <v>1641</v>
      </c>
      <c r="I56" s="2">
        <v>2024</v>
      </c>
      <c r="J56" s="1" t="s">
        <v>358</v>
      </c>
      <c r="K56" s="1" t="s">
        <v>58</v>
      </c>
      <c r="L56" s="1" t="s">
        <v>359</v>
      </c>
      <c r="M56" s="1">
        <v>81</v>
      </c>
      <c r="N56" s="1">
        <v>1</v>
      </c>
      <c r="O56" s="1">
        <v>2</v>
      </c>
      <c r="P56" s="1">
        <v>8</v>
      </c>
      <c r="Q56" s="1" t="s">
        <v>1523</v>
      </c>
      <c r="R56" s="1" t="s">
        <v>632</v>
      </c>
      <c r="S56" s="1" t="s">
        <v>1524</v>
      </c>
      <c r="T56" s="1" t="s">
        <v>48</v>
      </c>
      <c r="U56" s="1" t="s">
        <v>1642</v>
      </c>
      <c r="V56" s="1">
        <v>11</v>
      </c>
      <c r="W56" s="1">
        <v>1</v>
      </c>
      <c r="X56" s="1" t="s">
        <v>1644</v>
      </c>
      <c r="Y56" s="1" t="str">
        <f>HYPERLINK("http://dx.doi.org/10.1057/s41599-024-02708-z","http://dx.doi.org/10.1057/s41599-024-02708-z")</f>
        <v>http://dx.doi.org/10.1057/s41599-024-02708-z</v>
      </c>
      <c r="Z56" s="1">
        <v>13</v>
      </c>
      <c r="AA56" s="1" t="s">
        <v>1645</v>
      </c>
      <c r="AB56" s="1" t="s">
        <v>611</v>
      </c>
      <c r="AC56" s="1" t="s">
        <v>1646</v>
      </c>
      <c r="AD56" s="1" t="s">
        <v>48</v>
      </c>
      <c r="AE56" s="1" t="s">
        <v>125</v>
      </c>
    </row>
    <row r="57" spans="1:31" s="1" customFormat="1" ht="18.5" x14ac:dyDescent="0.45">
      <c r="A57" s="1" t="s">
        <v>1647</v>
      </c>
      <c r="B57" s="1" t="s">
        <v>1648</v>
      </c>
      <c r="C57" s="1" t="s">
        <v>1649</v>
      </c>
      <c r="D57" s="1" t="s">
        <v>1650</v>
      </c>
      <c r="E57" s="1" t="s">
        <v>1114</v>
      </c>
      <c r="F57" s="1" t="s">
        <v>48</v>
      </c>
      <c r="G57" s="1" t="s">
        <v>1651</v>
      </c>
      <c r="H57" s="1" t="s">
        <v>1652</v>
      </c>
      <c r="I57" s="2">
        <v>2024</v>
      </c>
      <c r="J57" s="1" t="s">
        <v>1653</v>
      </c>
      <c r="K57" s="1" t="s">
        <v>58</v>
      </c>
      <c r="L57" s="1" t="s">
        <v>1654</v>
      </c>
      <c r="M57" s="1">
        <v>98</v>
      </c>
      <c r="N57" s="1">
        <v>4</v>
      </c>
      <c r="O57" s="1">
        <v>2</v>
      </c>
      <c r="P57" s="1">
        <v>8</v>
      </c>
      <c r="Q57" s="1" t="s">
        <v>503</v>
      </c>
      <c r="R57" s="1" t="s">
        <v>504</v>
      </c>
      <c r="S57" s="1" t="s">
        <v>505</v>
      </c>
      <c r="T57" s="1" t="s">
        <v>1655</v>
      </c>
      <c r="U57" s="1" t="s">
        <v>1656</v>
      </c>
      <c r="V57" s="1">
        <v>81</v>
      </c>
      <c r="W57" s="1">
        <v>1</v>
      </c>
      <c r="X57" s="1" t="s">
        <v>1657</v>
      </c>
      <c r="Y57" s="1" t="str">
        <f>HYPERLINK("http://dx.doi.org/10.1007/s00284-023-03521-8","http://dx.doi.org/10.1007/s00284-023-03521-8")</f>
        <v>http://dx.doi.org/10.1007/s00284-023-03521-8</v>
      </c>
      <c r="Z57" s="1">
        <v>13</v>
      </c>
      <c r="AA57" s="1" t="s">
        <v>824</v>
      </c>
      <c r="AB57" s="1" t="s">
        <v>67</v>
      </c>
      <c r="AC57" s="1" t="s">
        <v>824</v>
      </c>
      <c r="AD57" s="1">
        <v>37989899</v>
      </c>
      <c r="AE57" s="1" t="s">
        <v>48</v>
      </c>
    </row>
    <row r="58" spans="1:31" s="1" customFormat="1" ht="18.5" x14ac:dyDescent="0.45">
      <c r="A58" s="1" t="s">
        <v>1699</v>
      </c>
      <c r="B58" s="1" t="s">
        <v>1700</v>
      </c>
      <c r="C58" s="1" t="s">
        <v>1701</v>
      </c>
      <c r="D58" s="1" t="s">
        <v>513</v>
      </c>
      <c r="E58" s="1" t="s">
        <v>53</v>
      </c>
      <c r="F58" s="1" t="s">
        <v>1702</v>
      </c>
      <c r="G58" s="1" t="s">
        <v>48</v>
      </c>
      <c r="H58" s="1" t="s">
        <v>1703</v>
      </c>
      <c r="I58" s="2">
        <v>2024</v>
      </c>
      <c r="J58" s="1" t="s">
        <v>1704</v>
      </c>
      <c r="K58" s="1" t="s">
        <v>115</v>
      </c>
      <c r="L58" s="1" t="s">
        <v>1705</v>
      </c>
      <c r="M58" s="1">
        <v>37</v>
      </c>
      <c r="N58" s="1">
        <v>1</v>
      </c>
      <c r="O58" s="1">
        <v>5</v>
      </c>
      <c r="P58" s="1">
        <v>7</v>
      </c>
      <c r="Q58" s="1" t="s">
        <v>517</v>
      </c>
      <c r="R58" s="1" t="s">
        <v>239</v>
      </c>
      <c r="S58" s="1" t="s">
        <v>518</v>
      </c>
      <c r="T58" s="1" t="s">
        <v>519</v>
      </c>
      <c r="U58" s="1" t="s">
        <v>520</v>
      </c>
      <c r="V58" s="1">
        <v>62</v>
      </c>
      <c r="W58" s="1">
        <v>7</v>
      </c>
      <c r="X58" s="1" t="s">
        <v>1706</v>
      </c>
      <c r="Y58" s="1" t="str">
        <f>HYPERLINK("http://dx.doi.org/10.56042/ijeb.v62i07.12069","http://dx.doi.org/10.56042/ijeb.v62i07.12069")</f>
        <v>http://dx.doi.org/10.56042/ijeb.v62i07.12069</v>
      </c>
      <c r="Z58" s="1">
        <v>11</v>
      </c>
      <c r="AA58" s="1" t="s">
        <v>522</v>
      </c>
      <c r="AB58" s="1" t="s">
        <v>67</v>
      </c>
      <c r="AC58" s="1" t="s">
        <v>523</v>
      </c>
      <c r="AD58" s="1" t="s">
        <v>48</v>
      </c>
      <c r="AE58" s="1" t="s">
        <v>125</v>
      </c>
    </row>
    <row r="59" spans="1:31" s="1" customFormat="1" ht="18.5" x14ac:dyDescent="0.45">
      <c r="A59" s="1" t="s">
        <v>1707</v>
      </c>
      <c r="B59" s="1" t="s">
        <v>1708</v>
      </c>
      <c r="C59" s="1" t="s">
        <v>1709</v>
      </c>
      <c r="D59" s="1" t="s">
        <v>1710</v>
      </c>
      <c r="E59" s="1" t="s">
        <v>53</v>
      </c>
      <c r="F59" s="1" t="s">
        <v>1711</v>
      </c>
      <c r="G59" s="1" t="s">
        <v>1540</v>
      </c>
      <c r="H59" s="1" t="s">
        <v>1712</v>
      </c>
      <c r="I59" s="2">
        <v>2024</v>
      </c>
      <c r="J59" s="1" t="s">
        <v>1713</v>
      </c>
      <c r="K59" s="1" t="s">
        <v>115</v>
      </c>
      <c r="L59" s="1" t="s">
        <v>1714</v>
      </c>
      <c r="M59" s="1">
        <v>42</v>
      </c>
      <c r="N59" s="1">
        <v>0</v>
      </c>
      <c r="O59" s="1">
        <v>0</v>
      </c>
      <c r="P59" s="1">
        <v>0</v>
      </c>
      <c r="Q59" s="1" t="s">
        <v>1715</v>
      </c>
      <c r="R59" s="1" t="s">
        <v>1716</v>
      </c>
      <c r="S59" s="1" t="s">
        <v>1717</v>
      </c>
      <c r="T59" s="1" t="s">
        <v>1718</v>
      </c>
      <c r="U59" s="1" t="s">
        <v>1719</v>
      </c>
      <c r="V59" s="1">
        <v>12</v>
      </c>
      <c r="W59" s="1">
        <v>2</v>
      </c>
      <c r="X59" s="1" t="s">
        <v>1720</v>
      </c>
      <c r="Y59" s="1" t="str">
        <f>HYPERLINK("http://dx.doi.org/10.13189/app.2024.120203","http://dx.doi.org/10.13189/app.2024.120203")</f>
        <v>http://dx.doi.org/10.13189/app.2024.120203</v>
      </c>
      <c r="Z59" s="1">
        <v>12</v>
      </c>
      <c r="AA59" s="1" t="s">
        <v>1324</v>
      </c>
      <c r="AB59" s="1" t="s">
        <v>124</v>
      </c>
      <c r="AC59" s="1" t="s">
        <v>1324</v>
      </c>
      <c r="AD59" s="1" t="s">
        <v>48</v>
      </c>
      <c r="AE59" s="1" t="s">
        <v>125</v>
      </c>
    </row>
    <row r="60" spans="1:31" s="1" customFormat="1" ht="18.5" x14ac:dyDescent="0.45">
      <c r="A60" s="1" t="s">
        <v>1721</v>
      </c>
      <c r="B60" s="1" t="s">
        <v>1722</v>
      </c>
      <c r="C60" s="1" t="s">
        <v>1723</v>
      </c>
      <c r="D60" s="1" t="s">
        <v>1724</v>
      </c>
      <c r="E60" s="1" t="s">
        <v>53</v>
      </c>
      <c r="F60" s="1" t="s">
        <v>1725</v>
      </c>
      <c r="G60" s="1" t="s">
        <v>1726</v>
      </c>
      <c r="H60" s="1" t="s">
        <v>1727</v>
      </c>
      <c r="I60" s="2">
        <v>2024</v>
      </c>
      <c r="J60" s="1" t="s">
        <v>1728</v>
      </c>
      <c r="K60" s="1" t="s">
        <v>58</v>
      </c>
      <c r="L60" s="1" t="s">
        <v>381</v>
      </c>
      <c r="M60" s="1">
        <v>42</v>
      </c>
      <c r="N60" s="1">
        <v>2</v>
      </c>
      <c r="O60" s="1">
        <v>1</v>
      </c>
      <c r="P60" s="1">
        <v>1</v>
      </c>
      <c r="Q60" s="1" t="s">
        <v>803</v>
      </c>
      <c r="R60" s="1" t="s">
        <v>239</v>
      </c>
      <c r="S60" s="1" t="s">
        <v>804</v>
      </c>
      <c r="T60" s="1" t="s">
        <v>1729</v>
      </c>
      <c r="U60" s="1" t="s">
        <v>1730</v>
      </c>
      <c r="V60" s="1">
        <v>15</v>
      </c>
      <c r="W60" s="1">
        <v>3</v>
      </c>
      <c r="X60" s="1" t="s">
        <v>1731</v>
      </c>
      <c r="Y60" s="1" t="str">
        <f>HYPERLINK("http://dx.doi.org/10.1007/s13198-023-02202-w","http://dx.doi.org/10.1007/s13198-023-02202-w")</f>
        <v>http://dx.doi.org/10.1007/s13198-023-02202-w</v>
      </c>
      <c r="Z60" s="1">
        <v>20</v>
      </c>
      <c r="AA60" s="1" t="s">
        <v>1732</v>
      </c>
      <c r="AB60" s="1" t="s">
        <v>124</v>
      </c>
      <c r="AC60" s="1" t="s">
        <v>1733</v>
      </c>
      <c r="AD60" s="1" t="s">
        <v>48</v>
      </c>
      <c r="AE60" s="1" t="s">
        <v>48</v>
      </c>
    </row>
    <row r="61" spans="1:31" s="1" customFormat="1" ht="18.5" x14ac:dyDescent="0.45">
      <c r="A61" s="1" t="s">
        <v>1130</v>
      </c>
      <c r="B61" s="1" t="s">
        <v>1131</v>
      </c>
      <c r="C61" s="1" t="s">
        <v>1734</v>
      </c>
      <c r="D61" s="1" t="s">
        <v>497</v>
      </c>
      <c r="E61" s="1" t="s">
        <v>53</v>
      </c>
      <c r="F61" s="1" t="s">
        <v>1735</v>
      </c>
      <c r="G61" s="1" t="s">
        <v>1736</v>
      </c>
      <c r="H61" s="1" t="s">
        <v>1737</v>
      </c>
      <c r="I61" s="2">
        <v>2024</v>
      </c>
      <c r="J61" s="1" t="s">
        <v>1133</v>
      </c>
      <c r="K61" s="1" t="s">
        <v>58</v>
      </c>
      <c r="L61" s="1" t="s">
        <v>1134</v>
      </c>
      <c r="M61" s="1">
        <v>89</v>
      </c>
      <c r="N61" s="1">
        <v>2</v>
      </c>
      <c r="O61" s="1">
        <v>2</v>
      </c>
      <c r="P61" s="1">
        <v>8</v>
      </c>
      <c r="Q61" s="1" t="s">
        <v>503</v>
      </c>
      <c r="R61" s="1" t="s">
        <v>504</v>
      </c>
      <c r="S61" s="1" t="s">
        <v>505</v>
      </c>
      <c r="T61" s="1" t="s">
        <v>506</v>
      </c>
      <c r="U61" s="1" t="s">
        <v>507</v>
      </c>
      <c r="V61" s="1">
        <v>31</v>
      </c>
      <c r="W61" s="1">
        <v>3</v>
      </c>
      <c r="X61" s="1" t="s">
        <v>1738</v>
      </c>
      <c r="Y61" s="1" t="str">
        <f>HYPERLINK("http://dx.doi.org/10.1007/s10690-023-09428-5","http://dx.doi.org/10.1007/s10690-023-09428-5")</f>
        <v>http://dx.doi.org/10.1007/s10690-023-09428-5</v>
      </c>
      <c r="Z61" s="1">
        <v>22</v>
      </c>
      <c r="AA61" s="1" t="s">
        <v>509</v>
      </c>
      <c r="AB61" s="1" t="s">
        <v>124</v>
      </c>
      <c r="AC61" s="1" t="s">
        <v>510</v>
      </c>
      <c r="AD61" s="1" t="s">
        <v>48</v>
      </c>
      <c r="AE61" s="1" t="s">
        <v>48</v>
      </c>
    </row>
    <row r="62" spans="1:31" s="1" customFormat="1" ht="18.5" x14ac:dyDescent="0.45">
      <c r="A62" s="1" t="s">
        <v>1060</v>
      </c>
      <c r="B62" s="1" t="s">
        <v>1768</v>
      </c>
      <c r="C62" s="1" t="s">
        <v>1769</v>
      </c>
      <c r="D62" s="1" t="s">
        <v>235</v>
      </c>
      <c r="E62" s="1" t="s">
        <v>53</v>
      </c>
      <c r="F62" s="1" t="s">
        <v>1770</v>
      </c>
      <c r="G62" s="1" t="s">
        <v>1771</v>
      </c>
      <c r="H62" s="1" t="s">
        <v>1772</v>
      </c>
      <c r="I62" s="2">
        <v>2024</v>
      </c>
      <c r="J62" s="1" t="s">
        <v>1773</v>
      </c>
      <c r="K62" s="1" t="s">
        <v>58</v>
      </c>
      <c r="L62" s="1" t="s">
        <v>1774</v>
      </c>
      <c r="M62" s="1">
        <v>62</v>
      </c>
      <c r="N62" s="1">
        <v>0</v>
      </c>
      <c r="O62" s="1">
        <v>3</v>
      </c>
      <c r="P62" s="1">
        <v>4</v>
      </c>
      <c r="Q62" s="1" t="s">
        <v>238</v>
      </c>
      <c r="R62" s="1" t="s">
        <v>239</v>
      </c>
      <c r="S62" s="1" t="s">
        <v>240</v>
      </c>
      <c r="T62" s="1" t="s">
        <v>241</v>
      </c>
      <c r="U62" s="1" t="s">
        <v>242</v>
      </c>
      <c r="V62" s="1">
        <v>59</v>
      </c>
      <c r="W62" s="1">
        <v>2</v>
      </c>
      <c r="X62" s="1" t="s">
        <v>1775</v>
      </c>
      <c r="Y62" s="1" t="str">
        <f>HYPERLINK("http://dx.doi.org/10.1007/s43539-024-00120-9","http://dx.doi.org/10.1007/s43539-024-00120-9")</f>
        <v>http://dx.doi.org/10.1007/s43539-024-00120-9</v>
      </c>
      <c r="Z62" s="1">
        <v>12</v>
      </c>
      <c r="AA62" s="1" t="s">
        <v>245</v>
      </c>
      <c r="AB62" s="1" t="s">
        <v>124</v>
      </c>
      <c r="AC62" s="1" t="s">
        <v>246</v>
      </c>
      <c r="AD62" s="1" t="s">
        <v>48</v>
      </c>
      <c r="AE62" s="1" t="s">
        <v>48</v>
      </c>
    </row>
    <row r="63" spans="1:31" s="1" customFormat="1" ht="18.5" x14ac:dyDescent="0.45">
      <c r="A63" s="1" t="s">
        <v>1776</v>
      </c>
      <c r="B63" s="1" t="s">
        <v>1777</v>
      </c>
      <c r="C63" s="1" t="s">
        <v>1778</v>
      </c>
      <c r="D63" s="1" t="s">
        <v>1779</v>
      </c>
      <c r="E63" s="1" t="s">
        <v>53</v>
      </c>
      <c r="F63" s="1" t="s">
        <v>1780</v>
      </c>
      <c r="G63" s="1" t="s">
        <v>1781</v>
      </c>
      <c r="H63" s="1" t="s">
        <v>1782</v>
      </c>
      <c r="I63" s="2">
        <v>2024</v>
      </c>
      <c r="J63" s="1" t="s">
        <v>1783</v>
      </c>
      <c r="K63" s="1" t="s">
        <v>115</v>
      </c>
      <c r="L63" s="1" t="s">
        <v>1784</v>
      </c>
      <c r="M63" s="1">
        <v>20</v>
      </c>
      <c r="N63" s="1">
        <v>0</v>
      </c>
      <c r="O63" s="1">
        <v>0</v>
      </c>
      <c r="P63" s="1">
        <v>0</v>
      </c>
      <c r="Q63" s="1" t="s">
        <v>1785</v>
      </c>
      <c r="R63" s="1" t="s">
        <v>1786</v>
      </c>
      <c r="S63" s="1" t="s">
        <v>1787</v>
      </c>
      <c r="T63" s="1" t="s">
        <v>1788</v>
      </c>
      <c r="U63" s="1" t="s">
        <v>1789</v>
      </c>
      <c r="V63" s="1">
        <v>26</v>
      </c>
      <c r="W63" s="1">
        <v>1</v>
      </c>
      <c r="X63" s="1" t="s">
        <v>1790</v>
      </c>
      <c r="Y63" s="1" t="str">
        <f>HYPERLINK("http://dx.doi.org/10.48165/abr.2024.26.01.10","http://dx.doi.org/10.48165/abr.2024.26.01.10")</f>
        <v>http://dx.doi.org/10.48165/abr.2024.26.01.10</v>
      </c>
      <c r="Z63" s="1">
        <v>6</v>
      </c>
      <c r="AA63" s="1" t="s">
        <v>1528</v>
      </c>
      <c r="AB63" s="1" t="s">
        <v>124</v>
      </c>
      <c r="AC63" s="1" t="s">
        <v>1528</v>
      </c>
      <c r="AD63" s="1" t="s">
        <v>48</v>
      </c>
      <c r="AE63" s="1" t="s">
        <v>48</v>
      </c>
    </row>
    <row r="64" spans="1:31" s="1" customFormat="1" ht="18.5" x14ac:dyDescent="0.45">
      <c r="A64" s="1" t="s">
        <v>1823</v>
      </c>
      <c r="B64" s="1" t="s">
        <v>1824</v>
      </c>
      <c r="C64" s="1" t="s">
        <v>1825</v>
      </c>
      <c r="D64" s="1" t="s">
        <v>683</v>
      </c>
      <c r="E64" s="1" t="s">
        <v>111</v>
      </c>
      <c r="F64" s="1" t="s">
        <v>1826</v>
      </c>
      <c r="G64" s="1" t="s">
        <v>1827</v>
      </c>
      <c r="H64" s="1" t="s">
        <v>1828</v>
      </c>
      <c r="I64" s="2">
        <v>2024</v>
      </c>
      <c r="J64" s="1" t="s">
        <v>1829</v>
      </c>
      <c r="K64" s="1" t="s">
        <v>58</v>
      </c>
      <c r="L64" s="1" t="s">
        <v>688</v>
      </c>
      <c r="M64" s="1">
        <v>45</v>
      </c>
      <c r="N64" s="1">
        <v>2</v>
      </c>
      <c r="O64" s="1">
        <v>2</v>
      </c>
      <c r="P64" s="1">
        <v>2</v>
      </c>
      <c r="Q64" s="1" t="s">
        <v>313</v>
      </c>
      <c r="R64" s="1" t="s">
        <v>314</v>
      </c>
      <c r="S64" s="1" t="s">
        <v>315</v>
      </c>
      <c r="T64" s="1" t="s">
        <v>689</v>
      </c>
      <c r="U64" s="1" t="s">
        <v>690</v>
      </c>
      <c r="V64" s="1" t="s">
        <v>48</v>
      </c>
      <c r="W64" s="1" t="s">
        <v>48</v>
      </c>
      <c r="X64" s="1" t="s">
        <v>1830</v>
      </c>
      <c r="Y64" s="1" t="str">
        <f>HYPERLINK("http://dx.doi.org/10.3934/naco.2024043","http://dx.doi.org/10.3934/naco.2024043")</f>
        <v>http://dx.doi.org/10.3934/naco.2024043</v>
      </c>
      <c r="Z64" s="1">
        <v>23</v>
      </c>
      <c r="AA64" s="1" t="s">
        <v>260</v>
      </c>
      <c r="AB64" s="1" t="s">
        <v>124</v>
      </c>
      <c r="AC64" s="1" t="s">
        <v>137</v>
      </c>
      <c r="AD64" s="1" t="s">
        <v>48</v>
      </c>
      <c r="AE64" s="1" t="s">
        <v>125</v>
      </c>
    </row>
    <row r="65" spans="1:31" s="1" customFormat="1" ht="18.5" x14ac:dyDescent="0.45">
      <c r="A65" s="1" t="s">
        <v>1147</v>
      </c>
      <c r="B65" s="1" t="s">
        <v>1148</v>
      </c>
      <c r="C65" s="1" t="s">
        <v>1831</v>
      </c>
      <c r="D65" s="1" t="s">
        <v>1686</v>
      </c>
      <c r="E65" s="1" t="s">
        <v>94</v>
      </c>
      <c r="F65" s="1" t="s">
        <v>48</v>
      </c>
      <c r="G65" s="1" t="s">
        <v>48</v>
      </c>
      <c r="H65" s="1" t="s">
        <v>48</v>
      </c>
      <c r="I65" s="2">
        <v>2024</v>
      </c>
      <c r="J65" s="1" t="s">
        <v>1151</v>
      </c>
      <c r="K65" s="1" t="s">
        <v>58</v>
      </c>
      <c r="L65" s="1" t="s">
        <v>1152</v>
      </c>
      <c r="M65" s="1">
        <v>0</v>
      </c>
      <c r="N65" s="1">
        <v>0</v>
      </c>
      <c r="O65" s="1">
        <v>0</v>
      </c>
      <c r="P65" s="1">
        <v>0</v>
      </c>
      <c r="Q65" s="1" t="s">
        <v>1687</v>
      </c>
      <c r="R65" s="1" t="s">
        <v>1688</v>
      </c>
      <c r="S65" s="1" t="s">
        <v>1689</v>
      </c>
      <c r="T65" s="1" t="s">
        <v>1690</v>
      </c>
      <c r="U65" s="1" t="s">
        <v>1691</v>
      </c>
      <c r="V65" s="1">
        <v>13</v>
      </c>
      <c r="W65" s="1">
        <v>2</v>
      </c>
      <c r="X65" s="1" t="s">
        <v>1832</v>
      </c>
      <c r="Y65" s="1" t="str">
        <f>HYPERLINK("http://dx.doi.org/10.5530/jscires.13.2.51","http://dx.doi.org/10.5530/jscires.13.2.51")</f>
        <v>http://dx.doi.org/10.5530/jscires.13.2.51</v>
      </c>
      <c r="Z65" s="1">
        <v>4</v>
      </c>
      <c r="AA65" s="1" t="s">
        <v>1158</v>
      </c>
      <c r="AB65" s="1" t="s">
        <v>124</v>
      </c>
      <c r="AC65" s="1" t="s">
        <v>1158</v>
      </c>
      <c r="AD65" s="1" t="s">
        <v>48</v>
      </c>
      <c r="AE65" s="1" t="s">
        <v>1696</v>
      </c>
    </row>
    <row r="66" spans="1:31" s="1" customFormat="1" ht="18.5" x14ac:dyDescent="0.45">
      <c r="A66" s="1" t="s">
        <v>1833</v>
      </c>
      <c r="B66" s="1" t="s">
        <v>1834</v>
      </c>
      <c r="C66" s="1" t="s">
        <v>1835</v>
      </c>
      <c r="D66" s="1" t="s">
        <v>1836</v>
      </c>
      <c r="E66" s="1" t="s">
        <v>53</v>
      </c>
      <c r="F66" s="1" t="s">
        <v>1837</v>
      </c>
      <c r="G66" s="1" t="s">
        <v>1838</v>
      </c>
      <c r="H66" s="1" t="s">
        <v>1839</v>
      </c>
      <c r="I66" s="2">
        <v>2024</v>
      </c>
      <c r="J66" s="1" t="s">
        <v>1840</v>
      </c>
      <c r="K66" s="1" t="s">
        <v>115</v>
      </c>
      <c r="L66" s="1" t="s">
        <v>1841</v>
      </c>
      <c r="M66" s="1">
        <v>40</v>
      </c>
      <c r="N66" s="1">
        <v>0</v>
      </c>
      <c r="O66" s="1">
        <v>1</v>
      </c>
      <c r="P66" s="1">
        <v>1</v>
      </c>
      <c r="Q66" s="1" t="s">
        <v>1842</v>
      </c>
      <c r="R66" s="1" t="s">
        <v>1843</v>
      </c>
      <c r="S66" s="1" t="s">
        <v>1844</v>
      </c>
      <c r="T66" s="1" t="s">
        <v>1845</v>
      </c>
      <c r="U66" s="1" t="s">
        <v>48</v>
      </c>
      <c r="V66" s="1">
        <v>15</v>
      </c>
      <c r="W66" s="1">
        <v>2</v>
      </c>
      <c r="X66" s="1" t="s">
        <v>48</v>
      </c>
      <c r="Y66" s="1" t="s">
        <v>48</v>
      </c>
      <c r="Z66" s="1">
        <v>10</v>
      </c>
      <c r="AA66" s="1" t="s">
        <v>1847</v>
      </c>
      <c r="AB66" s="1" t="s">
        <v>124</v>
      </c>
      <c r="AC66" s="1" t="s">
        <v>1848</v>
      </c>
      <c r="AD66" s="1" t="s">
        <v>48</v>
      </c>
      <c r="AE66" s="1" t="s">
        <v>48</v>
      </c>
    </row>
    <row r="67" spans="1:31" s="1" customFormat="1" ht="18.5" x14ac:dyDescent="0.45">
      <c r="A67" s="1" t="s">
        <v>1849</v>
      </c>
      <c r="B67" s="1" t="s">
        <v>1850</v>
      </c>
      <c r="C67" s="1" t="s">
        <v>1851</v>
      </c>
      <c r="D67" s="1" t="s">
        <v>736</v>
      </c>
      <c r="E67" s="1" t="s">
        <v>53</v>
      </c>
      <c r="F67" s="1" t="s">
        <v>1852</v>
      </c>
      <c r="G67" s="1" t="s">
        <v>1853</v>
      </c>
      <c r="H67" s="1" t="s">
        <v>1854</v>
      </c>
      <c r="I67" s="2">
        <v>2024</v>
      </c>
      <c r="J67" s="1" t="s">
        <v>1855</v>
      </c>
      <c r="K67" s="1" t="s">
        <v>58</v>
      </c>
      <c r="L67" s="1" t="s">
        <v>1856</v>
      </c>
      <c r="M67" s="1">
        <v>19</v>
      </c>
      <c r="N67" s="1">
        <v>1</v>
      </c>
      <c r="O67" s="1">
        <v>0</v>
      </c>
      <c r="P67" s="1">
        <v>0</v>
      </c>
      <c r="Q67" s="1" t="s">
        <v>739</v>
      </c>
      <c r="R67" s="1" t="s">
        <v>740</v>
      </c>
      <c r="S67" s="1" t="s">
        <v>741</v>
      </c>
      <c r="T67" s="1" t="s">
        <v>742</v>
      </c>
      <c r="U67" s="1" t="s">
        <v>48</v>
      </c>
      <c r="V67" s="1">
        <v>48</v>
      </c>
      <c r="W67" s="1">
        <v>6</v>
      </c>
      <c r="X67" s="1" t="s">
        <v>1857</v>
      </c>
      <c r="Y67" s="1" t="str">
        <f>HYPERLINK("http://dx.doi.org/10.46793/KgJMat2406.893B","http://dx.doi.org/10.46793/KgJMat2406.893B")</f>
        <v>http://dx.doi.org/10.46793/KgJMat2406.893B</v>
      </c>
      <c r="Z67" s="1">
        <v>14</v>
      </c>
      <c r="AA67" s="1" t="s">
        <v>137</v>
      </c>
      <c r="AB67" s="1" t="s">
        <v>124</v>
      </c>
      <c r="AC67" s="1" t="s">
        <v>137</v>
      </c>
      <c r="AD67" s="1" t="s">
        <v>48</v>
      </c>
      <c r="AE67" s="1" t="s">
        <v>125</v>
      </c>
    </row>
    <row r="68" spans="1:31" s="1" customFormat="1" ht="18.5" x14ac:dyDescent="0.45">
      <c r="A68" s="1" t="s">
        <v>1517</v>
      </c>
      <c r="B68" s="1" t="s">
        <v>1518</v>
      </c>
      <c r="C68" s="1" t="s">
        <v>1858</v>
      </c>
      <c r="D68" s="1" t="s">
        <v>1520</v>
      </c>
      <c r="E68" s="1" t="s">
        <v>1114</v>
      </c>
      <c r="F68" s="1" t="s">
        <v>1859</v>
      </c>
      <c r="G68" s="1" t="s">
        <v>1860</v>
      </c>
      <c r="H68" s="1" t="s">
        <v>1861</v>
      </c>
      <c r="I68" s="2">
        <v>2024</v>
      </c>
      <c r="J68" s="1" t="s">
        <v>1521</v>
      </c>
      <c r="K68" s="1" t="s">
        <v>115</v>
      </c>
      <c r="L68" s="1" t="s">
        <v>1862</v>
      </c>
      <c r="M68" s="1">
        <v>182</v>
      </c>
      <c r="N68" s="1">
        <v>0</v>
      </c>
      <c r="O68" s="1">
        <v>8</v>
      </c>
      <c r="P68" s="1">
        <v>10</v>
      </c>
      <c r="Q68" s="1" t="s">
        <v>1523</v>
      </c>
      <c r="R68" s="1" t="s">
        <v>632</v>
      </c>
      <c r="S68" s="1" t="s">
        <v>1524</v>
      </c>
      <c r="T68" s="1" t="s">
        <v>1525</v>
      </c>
      <c r="U68" s="1" t="s">
        <v>1526</v>
      </c>
      <c r="V68" s="1">
        <v>4</v>
      </c>
      <c r="W68" s="1">
        <v>1</v>
      </c>
      <c r="X68" s="1" t="s">
        <v>1863</v>
      </c>
      <c r="Y68" s="1" t="str">
        <f>HYPERLINK("http://dx.doi.org/10.1007/s43393-023-00195-y","http://dx.doi.org/10.1007/s43393-023-00195-y")</f>
        <v>http://dx.doi.org/10.1007/s43393-023-00195-y</v>
      </c>
      <c r="Z68" s="1">
        <v>19</v>
      </c>
      <c r="AA68" s="1" t="s">
        <v>1528</v>
      </c>
      <c r="AB68" s="1" t="s">
        <v>124</v>
      </c>
      <c r="AC68" s="1" t="s">
        <v>1528</v>
      </c>
      <c r="AD68" s="1" t="s">
        <v>48</v>
      </c>
      <c r="AE68" s="1" t="s">
        <v>48</v>
      </c>
    </row>
    <row r="69" spans="1:31" s="1" customFormat="1" ht="18.5" x14ac:dyDescent="0.45">
      <c r="A69" s="1" t="s">
        <v>893</v>
      </c>
      <c r="B69" s="1" t="s">
        <v>894</v>
      </c>
      <c r="C69" s="1" t="s">
        <v>1878</v>
      </c>
      <c r="D69" s="1" t="s">
        <v>711</v>
      </c>
      <c r="E69" s="1" t="s">
        <v>53</v>
      </c>
      <c r="F69" s="1" t="s">
        <v>1879</v>
      </c>
      <c r="G69" s="1" t="s">
        <v>1880</v>
      </c>
      <c r="H69" s="1" t="s">
        <v>1881</v>
      </c>
      <c r="I69" s="2">
        <v>2024</v>
      </c>
      <c r="J69" s="1" t="s">
        <v>1882</v>
      </c>
      <c r="K69" s="1" t="s">
        <v>58</v>
      </c>
      <c r="L69" s="1" t="s">
        <v>1883</v>
      </c>
      <c r="M69" s="1">
        <v>49</v>
      </c>
      <c r="N69" s="1">
        <v>11</v>
      </c>
      <c r="O69" s="1">
        <v>4</v>
      </c>
      <c r="P69" s="1">
        <v>16</v>
      </c>
      <c r="Q69" s="1" t="s">
        <v>503</v>
      </c>
      <c r="R69" s="1" t="s">
        <v>542</v>
      </c>
      <c r="S69" s="1" t="s">
        <v>543</v>
      </c>
      <c r="T69" s="1" t="s">
        <v>717</v>
      </c>
      <c r="U69" s="1" t="s">
        <v>718</v>
      </c>
      <c r="V69" s="1">
        <v>26</v>
      </c>
      <c r="W69" s="1">
        <v>2</v>
      </c>
      <c r="X69" s="1" t="s">
        <v>1884</v>
      </c>
      <c r="Y69" s="1" t="str">
        <f>HYPERLINK("http://dx.doi.org/10.1007/s10668-022-02857-8","http://dx.doi.org/10.1007/s10668-022-02857-8")</f>
        <v>http://dx.doi.org/10.1007/s10668-022-02857-8</v>
      </c>
      <c r="Z69" s="1">
        <v>26</v>
      </c>
      <c r="AA69" s="1" t="s">
        <v>722</v>
      </c>
      <c r="AB69" s="1" t="s">
        <v>67</v>
      </c>
      <c r="AC69" s="1" t="s">
        <v>723</v>
      </c>
      <c r="AD69" s="1" t="s">
        <v>48</v>
      </c>
      <c r="AE69" s="1" t="s">
        <v>48</v>
      </c>
    </row>
    <row r="70" spans="1:31" s="1" customFormat="1" ht="18.5" x14ac:dyDescent="0.45">
      <c r="A70" s="1" t="s">
        <v>354</v>
      </c>
      <c r="B70" s="1" t="s">
        <v>355</v>
      </c>
      <c r="C70" s="1" t="s">
        <v>1898</v>
      </c>
      <c r="D70" s="1" t="s">
        <v>1639</v>
      </c>
      <c r="E70" s="1" t="s">
        <v>53</v>
      </c>
      <c r="F70" s="1" t="s">
        <v>48</v>
      </c>
      <c r="G70" s="1" t="s">
        <v>1899</v>
      </c>
      <c r="H70" s="1" t="s">
        <v>1900</v>
      </c>
      <c r="I70" s="2">
        <v>2024</v>
      </c>
      <c r="J70" s="1" t="s">
        <v>1901</v>
      </c>
      <c r="K70" s="1" t="s">
        <v>58</v>
      </c>
      <c r="L70" s="1" t="s">
        <v>1902</v>
      </c>
      <c r="M70" s="1">
        <v>59</v>
      </c>
      <c r="N70" s="1">
        <v>0</v>
      </c>
      <c r="O70" s="1">
        <v>1</v>
      </c>
      <c r="P70" s="1">
        <v>1</v>
      </c>
      <c r="Q70" s="1" t="s">
        <v>1523</v>
      </c>
      <c r="R70" s="1" t="s">
        <v>632</v>
      </c>
      <c r="S70" s="1" t="s">
        <v>1524</v>
      </c>
      <c r="T70" s="1" t="s">
        <v>48</v>
      </c>
      <c r="U70" s="1" t="s">
        <v>1642</v>
      </c>
      <c r="V70" s="1">
        <v>11</v>
      </c>
      <c r="W70" s="1">
        <v>1</v>
      </c>
      <c r="X70" s="1" t="s">
        <v>1903</v>
      </c>
      <c r="Y70" s="1" t="str">
        <f>HYPERLINK("http://dx.doi.org/10.1057/s41599-024-04313-6","http://dx.doi.org/10.1057/s41599-024-04313-6")</f>
        <v>http://dx.doi.org/10.1057/s41599-024-04313-6</v>
      </c>
      <c r="Z70" s="1">
        <v>12</v>
      </c>
      <c r="AA70" s="1" t="s">
        <v>1645</v>
      </c>
      <c r="AB70" s="1" t="s">
        <v>611</v>
      </c>
      <c r="AC70" s="1" t="s">
        <v>1646</v>
      </c>
      <c r="AD70" s="1" t="s">
        <v>48</v>
      </c>
      <c r="AE70" s="1" t="s">
        <v>125</v>
      </c>
    </row>
    <row r="71" spans="1:31" s="1" customFormat="1" ht="18.5" x14ac:dyDescent="0.45">
      <c r="A71" s="1" t="s">
        <v>1904</v>
      </c>
      <c r="B71" s="1" t="s">
        <v>1905</v>
      </c>
      <c r="C71" s="1" t="s">
        <v>1906</v>
      </c>
      <c r="D71" s="1" t="s">
        <v>110</v>
      </c>
      <c r="E71" s="1" t="s">
        <v>53</v>
      </c>
      <c r="F71" s="1" t="s">
        <v>1907</v>
      </c>
      <c r="G71" s="1" t="s">
        <v>1908</v>
      </c>
      <c r="H71" s="1" t="s">
        <v>1909</v>
      </c>
      <c r="I71" s="2">
        <v>2024</v>
      </c>
      <c r="J71" s="1" t="s">
        <v>1910</v>
      </c>
      <c r="K71" s="1" t="s">
        <v>77</v>
      </c>
      <c r="L71" s="1" t="s">
        <v>1911</v>
      </c>
      <c r="M71" s="1">
        <v>64</v>
      </c>
      <c r="N71" s="1">
        <v>0</v>
      </c>
      <c r="O71" s="1">
        <v>1</v>
      </c>
      <c r="P71" s="1">
        <v>1</v>
      </c>
      <c r="Q71" s="1" t="s">
        <v>117</v>
      </c>
      <c r="R71" s="1" t="s">
        <v>118</v>
      </c>
      <c r="S71" s="1" t="s">
        <v>119</v>
      </c>
      <c r="T71" s="1" t="s">
        <v>120</v>
      </c>
      <c r="U71" s="1" t="s">
        <v>121</v>
      </c>
      <c r="V71" s="1">
        <v>18</v>
      </c>
      <c r="W71" s="1">
        <v>4</v>
      </c>
      <c r="X71" s="1" t="s">
        <v>1912</v>
      </c>
      <c r="Y71" s="1" t="str">
        <f>HYPERLINK("http://dx.doi.org/10.22207/JPAM.18.4.63","http://dx.doi.org/10.22207/JPAM.18.4.63")</f>
        <v>http://dx.doi.org/10.22207/JPAM.18.4.63</v>
      </c>
      <c r="Z71" s="1">
        <v>14</v>
      </c>
      <c r="AA71" s="1" t="s">
        <v>123</v>
      </c>
      <c r="AB71" s="1" t="s">
        <v>124</v>
      </c>
      <c r="AC71" s="1" t="s">
        <v>123</v>
      </c>
      <c r="AD71" s="1" t="s">
        <v>48</v>
      </c>
      <c r="AE71" s="1" t="s">
        <v>125</v>
      </c>
    </row>
    <row r="72" spans="1:31" s="1" customFormat="1" ht="18.5" x14ac:dyDescent="0.45">
      <c r="A72" s="1" t="s">
        <v>1943</v>
      </c>
      <c r="B72" s="1" t="s">
        <v>1944</v>
      </c>
      <c r="C72" s="1" t="s">
        <v>1945</v>
      </c>
      <c r="D72" s="1" t="s">
        <v>1946</v>
      </c>
      <c r="E72" s="1" t="s">
        <v>53</v>
      </c>
      <c r="F72" s="1" t="s">
        <v>1947</v>
      </c>
      <c r="G72" s="1" t="s">
        <v>1948</v>
      </c>
      <c r="H72" s="1" t="s">
        <v>1949</v>
      </c>
      <c r="I72" s="2">
        <v>2024</v>
      </c>
      <c r="J72" s="1" t="s">
        <v>1950</v>
      </c>
      <c r="K72" s="1" t="s">
        <v>58</v>
      </c>
      <c r="L72" s="1" t="s">
        <v>1951</v>
      </c>
      <c r="M72" s="1">
        <v>127</v>
      </c>
      <c r="N72" s="1">
        <v>1</v>
      </c>
      <c r="O72" s="1">
        <v>1</v>
      </c>
      <c r="P72" s="1">
        <v>1</v>
      </c>
      <c r="Q72" s="1" t="s">
        <v>79</v>
      </c>
      <c r="R72" s="1" t="s">
        <v>80</v>
      </c>
      <c r="S72" s="1" t="s">
        <v>81</v>
      </c>
      <c r="T72" s="1" t="s">
        <v>1952</v>
      </c>
      <c r="U72" s="1" t="s">
        <v>48</v>
      </c>
      <c r="V72" s="1">
        <v>27</v>
      </c>
      <c r="W72" s="1" t="s">
        <v>48</v>
      </c>
      <c r="X72" s="1" t="s">
        <v>1953</v>
      </c>
      <c r="Y72" s="1" t="str">
        <f>HYPERLINK("http://dx.doi.org/10.1016/j.gsd.2024.101344","http://dx.doi.org/10.1016/j.gsd.2024.101344")</f>
        <v>http://dx.doi.org/10.1016/j.gsd.2024.101344</v>
      </c>
      <c r="Z72" s="1">
        <v>19</v>
      </c>
      <c r="AA72" s="1" t="s">
        <v>1954</v>
      </c>
      <c r="AB72" s="1" t="s">
        <v>124</v>
      </c>
      <c r="AC72" s="1" t="s">
        <v>1955</v>
      </c>
      <c r="AD72" s="1" t="s">
        <v>48</v>
      </c>
      <c r="AE72" s="1" t="s">
        <v>48</v>
      </c>
    </row>
    <row r="73" spans="1:31" s="1" customFormat="1" ht="18.5" x14ac:dyDescent="0.45">
      <c r="A73" s="1" t="s">
        <v>1484</v>
      </c>
      <c r="B73" s="1" t="s">
        <v>1485</v>
      </c>
      <c r="C73" s="1" t="s">
        <v>1956</v>
      </c>
      <c r="D73" s="1" t="s">
        <v>1957</v>
      </c>
      <c r="E73" s="1" t="s">
        <v>53</v>
      </c>
      <c r="F73" s="1" t="s">
        <v>1958</v>
      </c>
      <c r="G73" s="1" t="s">
        <v>1959</v>
      </c>
      <c r="H73" s="1" t="s">
        <v>1960</v>
      </c>
      <c r="I73" s="2">
        <v>2024</v>
      </c>
      <c r="J73" s="1" t="s">
        <v>1488</v>
      </c>
      <c r="K73" s="1" t="s">
        <v>58</v>
      </c>
      <c r="L73" s="1" t="s">
        <v>1489</v>
      </c>
      <c r="M73" s="1">
        <v>122</v>
      </c>
      <c r="N73" s="1">
        <v>1</v>
      </c>
      <c r="O73" s="1">
        <v>9</v>
      </c>
      <c r="P73" s="1">
        <v>15</v>
      </c>
      <c r="Q73" s="1" t="s">
        <v>79</v>
      </c>
      <c r="R73" s="1" t="s">
        <v>80</v>
      </c>
      <c r="S73" s="1" t="s">
        <v>81</v>
      </c>
      <c r="T73" s="1" t="s">
        <v>1961</v>
      </c>
      <c r="U73" s="1" t="s">
        <v>1962</v>
      </c>
      <c r="V73" s="1">
        <v>160</v>
      </c>
      <c r="W73" s="1" t="s">
        <v>48</v>
      </c>
      <c r="X73" s="1" t="s">
        <v>1963</v>
      </c>
      <c r="Y73" s="1" t="str">
        <f>HYPERLINK("http://dx.doi.org/10.1016/j.physe.2024.115935","http://dx.doi.org/10.1016/j.physe.2024.115935")</f>
        <v>http://dx.doi.org/10.1016/j.physe.2024.115935</v>
      </c>
      <c r="Z73" s="1">
        <v>10</v>
      </c>
      <c r="AA73" s="1" t="s">
        <v>1964</v>
      </c>
      <c r="AB73" s="1" t="s">
        <v>67</v>
      </c>
      <c r="AC73" s="1" t="s">
        <v>1965</v>
      </c>
      <c r="AD73" s="1" t="s">
        <v>48</v>
      </c>
      <c r="AE73" s="1" t="s">
        <v>48</v>
      </c>
    </row>
    <row r="74" spans="1:31" s="1" customFormat="1" ht="18.5" x14ac:dyDescent="0.45">
      <c r="A74" s="1" t="s">
        <v>1966</v>
      </c>
      <c r="B74" s="1" t="s">
        <v>1967</v>
      </c>
      <c r="C74" s="1" t="s">
        <v>1968</v>
      </c>
      <c r="D74" s="1" t="s">
        <v>357</v>
      </c>
      <c r="E74" s="1" t="s">
        <v>1114</v>
      </c>
      <c r="F74" s="1" t="s">
        <v>1969</v>
      </c>
      <c r="G74" s="1" t="s">
        <v>1970</v>
      </c>
      <c r="H74" s="1" t="s">
        <v>1971</v>
      </c>
      <c r="I74" s="2">
        <v>2024</v>
      </c>
      <c r="J74" s="1" t="s">
        <v>1972</v>
      </c>
      <c r="K74" s="1" t="s">
        <v>58</v>
      </c>
      <c r="L74" s="1" t="s">
        <v>1973</v>
      </c>
      <c r="M74" s="1">
        <v>61</v>
      </c>
      <c r="N74" s="1">
        <v>7</v>
      </c>
      <c r="O74" s="1">
        <v>7</v>
      </c>
      <c r="P74" s="1">
        <v>23</v>
      </c>
      <c r="Q74" s="1" t="s">
        <v>360</v>
      </c>
      <c r="R74" s="1" t="s">
        <v>361</v>
      </c>
      <c r="S74" s="1" t="s">
        <v>362</v>
      </c>
      <c r="T74" s="1" t="s">
        <v>48</v>
      </c>
      <c r="U74" s="1" t="s">
        <v>363</v>
      </c>
      <c r="V74" s="1">
        <v>10</v>
      </c>
      <c r="W74" s="1">
        <v>4</v>
      </c>
      <c r="X74" s="1" t="s">
        <v>1974</v>
      </c>
      <c r="Y74" s="1" t="str">
        <f>HYPERLINK("http://dx.doi.org/10.1016/j.heliyon.2024.e25613","http://dx.doi.org/10.1016/j.heliyon.2024.e25613")</f>
        <v>http://dx.doi.org/10.1016/j.heliyon.2024.e25613</v>
      </c>
      <c r="Z74" s="1">
        <v>15</v>
      </c>
      <c r="AA74" s="1" t="s">
        <v>335</v>
      </c>
      <c r="AB74" s="1" t="s">
        <v>67</v>
      </c>
      <c r="AC74" s="1" t="s">
        <v>336</v>
      </c>
      <c r="AD74" s="1">
        <v>38370243</v>
      </c>
      <c r="AE74" s="1" t="s">
        <v>337</v>
      </c>
    </row>
    <row r="75" spans="1:31" s="1" customFormat="1" ht="18.5" x14ac:dyDescent="0.45">
      <c r="A75" s="1" t="s">
        <v>1975</v>
      </c>
      <c r="B75" s="1" t="s">
        <v>1976</v>
      </c>
      <c r="C75" s="1" t="s">
        <v>1977</v>
      </c>
      <c r="D75" s="1" t="s">
        <v>1978</v>
      </c>
      <c r="E75" s="1" t="s">
        <v>53</v>
      </c>
      <c r="F75" s="1" t="s">
        <v>1979</v>
      </c>
      <c r="G75" s="1" t="s">
        <v>1980</v>
      </c>
      <c r="H75" s="1" t="s">
        <v>1981</v>
      </c>
      <c r="I75" s="2">
        <v>2024</v>
      </c>
      <c r="J75" s="1" t="s">
        <v>1982</v>
      </c>
      <c r="K75" s="1" t="s">
        <v>58</v>
      </c>
      <c r="L75" s="1" t="s">
        <v>1983</v>
      </c>
      <c r="M75" s="1">
        <v>50</v>
      </c>
      <c r="N75" s="1">
        <v>2</v>
      </c>
      <c r="O75" s="1">
        <v>3</v>
      </c>
      <c r="P75" s="1">
        <v>3</v>
      </c>
      <c r="Q75" s="1" t="s">
        <v>79</v>
      </c>
      <c r="R75" s="1" t="s">
        <v>80</v>
      </c>
      <c r="S75" s="1" t="s">
        <v>81</v>
      </c>
      <c r="T75" s="1" t="s">
        <v>48</v>
      </c>
      <c r="U75" s="1" t="s">
        <v>1984</v>
      </c>
      <c r="V75" s="1">
        <v>9</v>
      </c>
      <c r="W75" s="1" t="s">
        <v>48</v>
      </c>
      <c r="X75" s="1" t="s">
        <v>1985</v>
      </c>
      <c r="Y75" s="1" t="str">
        <f>HYPERLINK("http://dx.doi.org/10.1016/j.horiz.2023.100088","http://dx.doi.org/10.1016/j.horiz.2023.100088")</f>
        <v>http://dx.doi.org/10.1016/j.horiz.2023.100088</v>
      </c>
      <c r="Z75" s="1">
        <v>10</v>
      </c>
      <c r="AA75" s="1" t="s">
        <v>438</v>
      </c>
      <c r="AB75" s="1" t="s">
        <v>124</v>
      </c>
      <c r="AC75" s="1" t="s">
        <v>439</v>
      </c>
      <c r="AD75" s="1" t="s">
        <v>48</v>
      </c>
      <c r="AE75" s="1" t="s">
        <v>1696</v>
      </c>
    </row>
    <row r="76" spans="1:31" s="1" customFormat="1" ht="18.5" x14ac:dyDescent="0.45">
      <c r="A76" s="1" t="s">
        <v>761</v>
      </c>
      <c r="B76" s="1" t="s">
        <v>762</v>
      </c>
      <c r="C76" s="1" t="s">
        <v>1986</v>
      </c>
      <c r="D76" s="1" t="s">
        <v>1741</v>
      </c>
      <c r="E76" s="1" t="s">
        <v>53</v>
      </c>
      <c r="F76" s="1" t="s">
        <v>1987</v>
      </c>
      <c r="G76" s="1" t="s">
        <v>1988</v>
      </c>
      <c r="H76" s="1" t="s">
        <v>1989</v>
      </c>
      <c r="I76" s="2">
        <v>2024</v>
      </c>
      <c r="J76" s="1" t="s">
        <v>1990</v>
      </c>
      <c r="K76" s="1" t="s">
        <v>58</v>
      </c>
      <c r="L76" s="1" t="s">
        <v>1379</v>
      </c>
      <c r="M76" s="1">
        <v>62</v>
      </c>
      <c r="N76" s="1">
        <v>19</v>
      </c>
      <c r="O76" s="1">
        <v>11</v>
      </c>
      <c r="P76" s="1">
        <v>19</v>
      </c>
      <c r="Q76" s="1" t="s">
        <v>79</v>
      </c>
      <c r="R76" s="1" t="s">
        <v>80</v>
      </c>
      <c r="S76" s="1" t="s">
        <v>81</v>
      </c>
      <c r="T76" s="1" t="s">
        <v>1743</v>
      </c>
      <c r="U76" s="1" t="s">
        <v>1744</v>
      </c>
      <c r="V76" s="1">
        <v>151</v>
      </c>
      <c r="W76" s="1" t="s">
        <v>48</v>
      </c>
      <c r="X76" s="1" t="s">
        <v>1991</v>
      </c>
      <c r="Y76" s="1" t="str">
        <f>HYPERLINK("http://dx.doi.org/10.1016/j.asoc.2023.111182","http://dx.doi.org/10.1016/j.asoc.2023.111182")</f>
        <v>http://dx.doi.org/10.1016/j.asoc.2023.111182</v>
      </c>
      <c r="Z76" s="1">
        <v>20</v>
      </c>
      <c r="AA76" s="1" t="s">
        <v>1746</v>
      </c>
      <c r="AB76" s="1" t="s">
        <v>67</v>
      </c>
      <c r="AC76" s="1" t="s">
        <v>292</v>
      </c>
      <c r="AD76" s="1" t="s">
        <v>48</v>
      </c>
      <c r="AE76" s="1" t="s">
        <v>48</v>
      </c>
    </row>
    <row r="77" spans="1:31" s="1" customFormat="1" ht="18.5" x14ac:dyDescent="0.45">
      <c r="A77" s="1" t="s">
        <v>1999</v>
      </c>
      <c r="B77" s="1" t="s">
        <v>2000</v>
      </c>
      <c r="C77" s="1" t="s">
        <v>2001</v>
      </c>
      <c r="D77" s="1" t="s">
        <v>2002</v>
      </c>
      <c r="E77" s="1" t="s">
        <v>53</v>
      </c>
      <c r="F77" s="1" t="s">
        <v>2003</v>
      </c>
      <c r="G77" s="1" t="s">
        <v>2004</v>
      </c>
      <c r="H77" s="1" t="s">
        <v>2005</v>
      </c>
      <c r="I77" s="2">
        <v>2024</v>
      </c>
      <c r="J77" s="1" t="s">
        <v>2006</v>
      </c>
      <c r="K77" s="1" t="s">
        <v>58</v>
      </c>
      <c r="L77" s="1" t="s">
        <v>2007</v>
      </c>
      <c r="M77" s="1">
        <v>73</v>
      </c>
      <c r="N77" s="1">
        <v>3</v>
      </c>
      <c r="O77" s="1">
        <v>1</v>
      </c>
      <c r="P77" s="1">
        <v>7</v>
      </c>
      <c r="Q77" s="1" t="s">
        <v>503</v>
      </c>
      <c r="R77" s="1" t="s">
        <v>542</v>
      </c>
      <c r="S77" s="1" t="s">
        <v>543</v>
      </c>
      <c r="T77" s="1" t="s">
        <v>2008</v>
      </c>
      <c r="U77" s="1" t="s">
        <v>2009</v>
      </c>
      <c r="V77" s="1">
        <v>32</v>
      </c>
      <c r="W77" s="1">
        <v>2</v>
      </c>
      <c r="X77" s="1" t="s">
        <v>2010</v>
      </c>
      <c r="Y77" s="1" t="str">
        <f>HYPERLINK("http://dx.doi.org/10.1007/s10499-023-01257-7","http://dx.doi.org/10.1007/s10499-023-01257-7")</f>
        <v>http://dx.doi.org/10.1007/s10499-023-01257-7</v>
      </c>
      <c r="Z77" s="1">
        <v>37</v>
      </c>
      <c r="AA77" s="1" t="s">
        <v>2011</v>
      </c>
      <c r="AB77" s="1" t="s">
        <v>67</v>
      </c>
      <c r="AC77" s="1" t="s">
        <v>2011</v>
      </c>
      <c r="AD77" s="1" t="s">
        <v>48</v>
      </c>
      <c r="AE77" s="1" t="s">
        <v>48</v>
      </c>
    </row>
    <row r="78" spans="1:31" s="1" customFormat="1" ht="18.5" x14ac:dyDescent="0.45">
      <c r="A78" s="1" t="s">
        <v>1366</v>
      </c>
      <c r="B78" s="1" t="s">
        <v>1367</v>
      </c>
      <c r="C78" s="1" t="s">
        <v>2022</v>
      </c>
      <c r="D78" s="1" t="s">
        <v>2023</v>
      </c>
      <c r="E78" s="1" t="s">
        <v>53</v>
      </c>
      <c r="F78" s="1" t="s">
        <v>2024</v>
      </c>
      <c r="G78" s="1" t="s">
        <v>2025</v>
      </c>
      <c r="H78" s="1" t="s">
        <v>2026</v>
      </c>
      <c r="I78" s="2">
        <v>2024</v>
      </c>
      <c r="J78" s="1" t="s">
        <v>2027</v>
      </c>
      <c r="K78" s="1" t="s">
        <v>58</v>
      </c>
      <c r="L78" s="1" t="s">
        <v>2028</v>
      </c>
      <c r="M78" s="1">
        <v>41</v>
      </c>
      <c r="N78" s="1">
        <v>5</v>
      </c>
      <c r="O78" s="1">
        <v>0</v>
      </c>
      <c r="P78" s="1">
        <v>3</v>
      </c>
      <c r="Q78" s="1" t="s">
        <v>79</v>
      </c>
      <c r="R78" s="1" t="s">
        <v>80</v>
      </c>
      <c r="S78" s="1" t="s">
        <v>81</v>
      </c>
      <c r="T78" s="1" t="s">
        <v>2029</v>
      </c>
      <c r="U78" s="1" t="s">
        <v>2030</v>
      </c>
      <c r="V78" s="1">
        <v>220</v>
      </c>
      <c r="W78" s="1" t="s">
        <v>48</v>
      </c>
      <c r="X78" s="1" t="s">
        <v>2031</v>
      </c>
      <c r="Y78" s="1" t="str">
        <f>HYPERLINK("http://dx.doi.org/10.1016/j.matcom.2024.01.004","http://dx.doi.org/10.1016/j.matcom.2024.01.004")</f>
        <v>http://dx.doi.org/10.1016/j.matcom.2024.01.004</v>
      </c>
      <c r="Z78" s="1">
        <v>21</v>
      </c>
      <c r="AA78" s="1" t="s">
        <v>2032</v>
      </c>
      <c r="AB78" s="1" t="s">
        <v>67</v>
      </c>
      <c r="AC78" s="1" t="s">
        <v>2033</v>
      </c>
      <c r="AD78" s="1" t="s">
        <v>48</v>
      </c>
      <c r="AE78" s="1" t="s">
        <v>48</v>
      </c>
    </row>
    <row r="79" spans="1:31" s="1" customFormat="1" ht="18.5" x14ac:dyDescent="0.45">
      <c r="A79" s="1" t="s">
        <v>2034</v>
      </c>
      <c r="B79" s="1" t="s">
        <v>2035</v>
      </c>
      <c r="C79" s="1" t="s">
        <v>2036</v>
      </c>
      <c r="D79" s="1" t="s">
        <v>2037</v>
      </c>
      <c r="E79" s="1" t="s">
        <v>53</v>
      </c>
      <c r="F79" s="1" t="s">
        <v>2038</v>
      </c>
      <c r="G79" s="1" t="s">
        <v>2039</v>
      </c>
      <c r="H79" s="1" t="s">
        <v>2040</v>
      </c>
      <c r="I79" s="2">
        <v>2024</v>
      </c>
      <c r="J79" s="1" t="s">
        <v>2041</v>
      </c>
      <c r="K79" s="1" t="s">
        <v>58</v>
      </c>
      <c r="L79" s="1" t="s">
        <v>2042</v>
      </c>
      <c r="M79" s="1">
        <v>48</v>
      </c>
      <c r="N79" s="1">
        <v>0</v>
      </c>
      <c r="O79" s="1">
        <v>0</v>
      </c>
      <c r="P79" s="1">
        <v>0</v>
      </c>
      <c r="Q79" s="1" t="s">
        <v>2043</v>
      </c>
      <c r="R79" s="1" t="s">
        <v>2044</v>
      </c>
      <c r="S79" s="1" t="s">
        <v>2045</v>
      </c>
      <c r="T79" s="1" t="s">
        <v>2046</v>
      </c>
      <c r="U79" s="1" t="s">
        <v>48</v>
      </c>
      <c r="V79" s="1">
        <v>28</v>
      </c>
      <c r="W79" s="1">
        <v>6</v>
      </c>
      <c r="X79" s="1" t="s">
        <v>2047</v>
      </c>
      <c r="Y79" s="1" t="str">
        <f>HYPERLINK("http://dx.doi.org/10.29228/jrp.884","http://dx.doi.org/10.29228/jrp.884")</f>
        <v>http://dx.doi.org/10.29228/jrp.884</v>
      </c>
      <c r="Z79" s="1">
        <v>12</v>
      </c>
      <c r="AA79" s="1" t="s">
        <v>1324</v>
      </c>
      <c r="AB79" s="1" t="s">
        <v>124</v>
      </c>
      <c r="AC79" s="1" t="s">
        <v>1324</v>
      </c>
      <c r="AD79" s="1" t="s">
        <v>48</v>
      </c>
      <c r="AE79" s="1" t="s">
        <v>125</v>
      </c>
    </row>
    <row r="80" spans="1:31" s="1" customFormat="1" ht="18.5" x14ac:dyDescent="0.45">
      <c r="A80" s="1" t="s">
        <v>524</v>
      </c>
      <c r="B80" s="1" t="s">
        <v>525</v>
      </c>
      <c r="C80" s="1" t="s">
        <v>2062</v>
      </c>
      <c r="D80" s="1" t="s">
        <v>497</v>
      </c>
      <c r="E80" s="1" t="s">
        <v>53</v>
      </c>
      <c r="F80" s="1" t="s">
        <v>2063</v>
      </c>
      <c r="G80" s="1" t="s">
        <v>2064</v>
      </c>
      <c r="H80" s="1" t="s">
        <v>2065</v>
      </c>
      <c r="I80" s="2">
        <v>2024</v>
      </c>
      <c r="J80" s="1" t="s">
        <v>2066</v>
      </c>
      <c r="K80" s="1" t="s">
        <v>58</v>
      </c>
      <c r="L80" s="1" t="s">
        <v>702</v>
      </c>
      <c r="M80" s="1">
        <v>67</v>
      </c>
      <c r="N80" s="1">
        <v>8</v>
      </c>
      <c r="O80" s="1">
        <v>1</v>
      </c>
      <c r="P80" s="1">
        <v>2</v>
      </c>
      <c r="Q80" s="1" t="s">
        <v>503</v>
      </c>
      <c r="R80" s="1" t="s">
        <v>504</v>
      </c>
      <c r="S80" s="1" t="s">
        <v>505</v>
      </c>
      <c r="T80" s="1" t="s">
        <v>506</v>
      </c>
      <c r="U80" s="1" t="s">
        <v>507</v>
      </c>
      <c r="V80" s="1">
        <v>31</v>
      </c>
      <c r="W80" s="1">
        <v>4</v>
      </c>
      <c r="X80" s="1" t="s">
        <v>2067</v>
      </c>
      <c r="Y80" s="1" t="str">
        <f>HYPERLINK("http://dx.doi.org/10.1007/s10690-023-09436-5","http://dx.doi.org/10.1007/s10690-023-09436-5")</f>
        <v>http://dx.doi.org/10.1007/s10690-023-09436-5</v>
      </c>
      <c r="Z80" s="1">
        <v>20</v>
      </c>
      <c r="AA80" s="1" t="s">
        <v>509</v>
      </c>
      <c r="AB80" s="1" t="s">
        <v>124</v>
      </c>
      <c r="AC80" s="1" t="s">
        <v>510</v>
      </c>
      <c r="AD80" s="1" t="s">
        <v>48</v>
      </c>
      <c r="AE80" s="1" t="s">
        <v>48</v>
      </c>
    </row>
    <row r="81" spans="1:31" s="1" customFormat="1" ht="18.5" x14ac:dyDescent="0.45">
      <c r="A81" s="1" t="s">
        <v>139</v>
      </c>
      <c r="B81" s="1" t="s">
        <v>140</v>
      </c>
      <c r="C81" s="1" t="s">
        <v>2075</v>
      </c>
      <c r="D81" s="1" t="s">
        <v>2076</v>
      </c>
      <c r="E81" s="1" t="s">
        <v>94</v>
      </c>
      <c r="F81" s="1" t="s">
        <v>48</v>
      </c>
      <c r="G81" s="1" t="s">
        <v>48</v>
      </c>
      <c r="H81" s="1" t="s">
        <v>48</v>
      </c>
      <c r="I81" s="2">
        <v>2024</v>
      </c>
      <c r="J81" s="1" t="s">
        <v>1588</v>
      </c>
      <c r="K81" s="1" t="s">
        <v>58</v>
      </c>
      <c r="L81" s="1" t="s">
        <v>1589</v>
      </c>
      <c r="M81" s="1">
        <v>1</v>
      </c>
      <c r="N81" s="1">
        <v>0</v>
      </c>
      <c r="O81" s="1">
        <v>1</v>
      </c>
      <c r="P81" s="1">
        <v>1</v>
      </c>
      <c r="Q81" s="1" t="s">
        <v>145</v>
      </c>
      <c r="R81" s="1" t="s">
        <v>146</v>
      </c>
      <c r="S81" s="1" t="s">
        <v>147</v>
      </c>
      <c r="T81" s="1" t="s">
        <v>2077</v>
      </c>
      <c r="U81" s="1" t="s">
        <v>2078</v>
      </c>
      <c r="V81" s="1">
        <v>60</v>
      </c>
      <c r="W81" s="1">
        <v>2</v>
      </c>
      <c r="X81" s="1" t="s">
        <v>2079</v>
      </c>
      <c r="Y81" s="1" t="str">
        <f>HYPERLINK("http://dx.doi.org/10.1080/17449855.2023.2199532","http://dx.doi.org/10.1080/17449855.2023.2199532")</f>
        <v>http://dx.doi.org/10.1080/17449855.2023.2199532</v>
      </c>
      <c r="Z81" s="1">
        <v>2</v>
      </c>
      <c r="AA81" s="1" t="s">
        <v>1129</v>
      </c>
      <c r="AB81" s="1" t="s">
        <v>178</v>
      </c>
      <c r="AC81" s="1" t="s">
        <v>1129</v>
      </c>
      <c r="AD81" s="1" t="s">
        <v>48</v>
      </c>
      <c r="AE81" s="1" t="s">
        <v>48</v>
      </c>
    </row>
    <row r="82" spans="1:31" s="1" customFormat="1" ht="18.5" x14ac:dyDescent="0.45">
      <c r="A82" s="1" t="s">
        <v>2114</v>
      </c>
      <c r="B82" s="1" t="s">
        <v>2115</v>
      </c>
      <c r="C82" s="1" t="s">
        <v>2116</v>
      </c>
      <c r="D82" s="1" t="s">
        <v>868</v>
      </c>
      <c r="E82" s="1" t="s">
        <v>53</v>
      </c>
      <c r="F82" s="1" t="s">
        <v>2117</v>
      </c>
      <c r="G82" s="1" t="s">
        <v>48</v>
      </c>
      <c r="H82" s="1" t="s">
        <v>2118</v>
      </c>
      <c r="I82" s="2">
        <v>2024</v>
      </c>
      <c r="J82" s="1" t="s">
        <v>2119</v>
      </c>
      <c r="K82" s="1" t="s">
        <v>58</v>
      </c>
      <c r="L82" s="1" t="s">
        <v>2120</v>
      </c>
      <c r="M82" s="1">
        <v>45</v>
      </c>
      <c r="N82" s="1">
        <v>1</v>
      </c>
      <c r="O82" s="1">
        <v>0</v>
      </c>
      <c r="P82" s="1">
        <v>3</v>
      </c>
      <c r="Q82" s="1" t="s">
        <v>98</v>
      </c>
      <c r="R82" s="1" t="s">
        <v>99</v>
      </c>
      <c r="S82" s="1" t="s">
        <v>100</v>
      </c>
      <c r="T82" s="1" t="s">
        <v>871</v>
      </c>
      <c r="U82" s="1" t="s">
        <v>872</v>
      </c>
      <c r="V82" s="1">
        <v>59</v>
      </c>
      <c r="W82" s="1">
        <v>1</v>
      </c>
      <c r="X82" s="1" t="s">
        <v>2121</v>
      </c>
      <c r="Y82" s="1" t="str">
        <f>HYPERLINK("http://dx.doi.org/10.1177/00219096221106079","http://dx.doi.org/10.1177/00219096221106079")</f>
        <v>http://dx.doi.org/10.1177/00219096221106079</v>
      </c>
      <c r="Z82" s="1">
        <v>18</v>
      </c>
      <c r="AA82" s="1" t="s">
        <v>874</v>
      </c>
      <c r="AB82" s="1" t="s">
        <v>106</v>
      </c>
      <c r="AC82" s="1" t="s">
        <v>874</v>
      </c>
      <c r="AD82" s="1" t="s">
        <v>48</v>
      </c>
      <c r="AE82" s="1" t="s">
        <v>48</v>
      </c>
    </row>
    <row r="83" spans="1:31" s="1" customFormat="1" ht="18.5" x14ac:dyDescent="0.45">
      <c r="A83" s="1" t="s">
        <v>126</v>
      </c>
      <c r="B83" s="1" t="s">
        <v>127</v>
      </c>
      <c r="C83" s="1" t="s">
        <v>2147</v>
      </c>
      <c r="D83" s="1" t="s">
        <v>1741</v>
      </c>
      <c r="E83" s="1" t="s">
        <v>1114</v>
      </c>
      <c r="F83" s="1" t="s">
        <v>2148</v>
      </c>
      <c r="G83" s="1" t="s">
        <v>2149</v>
      </c>
      <c r="H83" s="1" t="s">
        <v>2150</v>
      </c>
      <c r="I83" s="2">
        <v>2024</v>
      </c>
      <c r="J83" s="1" t="s">
        <v>2151</v>
      </c>
      <c r="K83" s="1" t="s">
        <v>58</v>
      </c>
      <c r="L83" s="1" t="s">
        <v>2152</v>
      </c>
      <c r="M83" s="1">
        <v>54</v>
      </c>
      <c r="N83" s="1">
        <v>1</v>
      </c>
      <c r="O83" s="1">
        <v>6</v>
      </c>
      <c r="P83" s="1">
        <v>6</v>
      </c>
      <c r="Q83" s="1" t="s">
        <v>79</v>
      </c>
      <c r="R83" s="1" t="s">
        <v>80</v>
      </c>
      <c r="S83" s="1" t="s">
        <v>81</v>
      </c>
      <c r="T83" s="1" t="s">
        <v>1743</v>
      </c>
      <c r="U83" s="1" t="s">
        <v>1744</v>
      </c>
      <c r="V83" s="1">
        <v>165</v>
      </c>
      <c r="W83" s="1" t="s">
        <v>48</v>
      </c>
      <c r="X83" s="1" t="s">
        <v>2153</v>
      </c>
      <c r="Y83" s="1" t="str">
        <f>HYPERLINK("http://dx.doi.org/10.1016/j.asoc.2024.112035","http://dx.doi.org/10.1016/j.asoc.2024.112035")</f>
        <v>http://dx.doi.org/10.1016/j.asoc.2024.112035</v>
      </c>
      <c r="Z83" s="1">
        <v>21</v>
      </c>
      <c r="AA83" s="1" t="s">
        <v>1746</v>
      </c>
      <c r="AB83" s="1" t="s">
        <v>67</v>
      </c>
      <c r="AC83" s="1" t="s">
        <v>292</v>
      </c>
      <c r="AD83" s="1" t="s">
        <v>48</v>
      </c>
      <c r="AE83" s="1" t="s">
        <v>48</v>
      </c>
    </row>
    <row r="84" spans="1:31" s="1" customFormat="1" ht="18.5" x14ac:dyDescent="0.45">
      <c r="A84" s="1" t="s">
        <v>524</v>
      </c>
      <c r="B84" s="1" t="s">
        <v>525</v>
      </c>
      <c r="C84" s="1" t="s">
        <v>2154</v>
      </c>
      <c r="D84" s="1" t="s">
        <v>1049</v>
      </c>
      <c r="E84" s="1" t="s">
        <v>111</v>
      </c>
      <c r="F84" s="1" t="s">
        <v>2155</v>
      </c>
      <c r="G84" s="1" t="s">
        <v>2156</v>
      </c>
      <c r="H84" s="1" t="s">
        <v>2157</v>
      </c>
      <c r="I84" s="2">
        <v>2024</v>
      </c>
      <c r="J84" s="1" t="s">
        <v>528</v>
      </c>
      <c r="K84" s="1" t="s">
        <v>58</v>
      </c>
      <c r="L84" s="1" t="s">
        <v>529</v>
      </c>
      <c r="M84" s="1">
        <v>83</v>
      </c>
      <c r="N84" s="1">
        <v>3</v>
      </c>
      <c r="O84" s="1">
        <v>4</v>
      </c>
      <c r="P84" s="1">
        <v>23</v>
      </c>
      <c r="Q84" s="1" t="s">
        <v>530</v>
      </c>
      <c r="R84" s="1" t="s">
        <v>531</v>
      </c>
      <c r="S84" s="1" t="s">
        <v>532</v>
      </c>
      <c r="T84" s="1" t="s">
        <v>1055</v>
      </c>
      <c r="U84" s="1" t="s">
        <v>1056</v>
      </c>
      <c r="V84" s="1" t="s">
        <v>48</v>
      </c>
      <c r="W84" s="1" t="s">
        <v>48</v>
      </c>
      <c r="X84" s="1" t="s">
        <v>2158</v>
      </c>
      <c r="Y84" s="1" t="str">
        <f>HYPERLINK("http://dx.doi.org/10.1108/IJOEM-05-2023-0698","http://dx.doi.org/10.1108/IJOEM-05-2023-0698")</f>
        <v>http://dx.doi.org/10.1108/IJOEM-05-2023-0698</v>
      </c>
      <c r="Z84" s="1">
        <v>23</v>
      </c>
      <c r="AA84" s="1" t="s">
        <v>1059</v>
      </c>
      <c r="AB84" s="1" t="s">
        <v>106</v>
      </c>
      <c r="AC84" s="1" t="s">
        <v>510</v>
      </c>
      <c r="AD84" s="1" t="s">
        <v>48</v>
      </c>
      <c r="AE84" s="1" t="s">
        <v>48</v>
      </c>
    </row>
    <row r="85" spans="1:31" s="1" customFormat="1" ht="18.5" x14ac:dyDescent="0.45">
      <c r="A85" s="1" t="s">
        <v>139</v>
      </c>
      <c r="B85" s="1" t="s">
        <v>140</v>
      </c>
      <c r="C85" s="1" t="s">
        <v>2159</v>
      </c>
      <c r="D85" s="1" t="s">
        <v>2160</v>
      </c>
      <c r="E85" s="1" t="s">
        <v>53</v>
      </c>
      <c r="F85" s="1" t="s">
        <v>2161</v>
      </c>
      <c r="G85" s="1" t="s">
        <v>48</v>
      </c>
      <c r="H85" s="1" t="s">
        <v>2162</v>
      </c>
      <c r="I85" s="2">
        <v>2024</v>
      </c>
      <c r="J85" s="1" t="s">
        <v>2163</v>
      </c>
      <c r="K85" s="1" t="s">
        <v>58</v>
      </c>
      <c r="L85" s="1" t="s">
        <v>2164</v>
      </c>
      <c r="M85" s="1">
        <v>34</v>
      </c>
      <c r="N85" s="1">
        <v>0</v>
      </c>
      <c r="O85" s="1">
        <v>0</v>
      </c>
      <c r="P85" s="1">
        <v>0</v>
      </c>
      <c r="Q85" s="1" t="s">
        <v>2165</v>
      </c>
      <c r="R85" s="1" t="s">
        <v>2166</v>
      </c>
      <c r="S85" s="1" t="s">
        <v>2167</v>
      </c>
      <c r="T85" s="1" t="s">
        <v>2168</v>
      </c>
      <c r="U85" s="1" t="s">
        <v>2169</v>
      </c>
      <c r="V85" s="1">
        <v>15</v>
      </c>
      <c r="W85" s="1">
        <v>1</v>
      </c>
      <c r="X85" s="1" t="s">
        <v>2170</v>
      </c>
      <c r="Y85" s="1" t="str">
        <f>HYPERLINK("http://dx.doi.org/10.5281/zenodo.10968329","http://dx.doi.org/10.5281/zenodo.10968329")</f>
        <v>http://dx.doi.org/10.5281/zenodo.10968329</v>
      </c>
      <c r="Z85" s="1">
        <v>379</v>
      </c>
      <c r="AA85" s="1" t="s">
        <v>2171</v>
      </c>
      <c r="AB85" s="1" t="s">
        <v>124</v>
      </c>
      <c r="AC85" s="1" t="s">
        <v>2172</v>
      </c>
      <c r="AD85" s="1" t="s">
        <v>48</v>
      </c>
      <c r="AE85" s="1" t="s">
        <v>48</v>
      </c>
    </row>
    <row r="86" spans="1:31" s="1" customFormat="1" ht="18.5" x14ac:dyDescent="0.45">
      <c r="A86" s="1" t="s">
        <v>1288</v>
      </c>
      <c r="B86" s="1" t="s">
        <v>1819</v>
      </c>
      <c r="C86" s="1" t="s">
        <v>2173</v>
      </c>
      <c r="D86" s="1" t="s">
        <v>2174</v>
      </c>
      <c r="E86" s="1" t="s">
        <v>53</v>
      </c>
      <c r="F86" s="1" t="s">
        <v>2175</v>
      </c>
      <c r="G86" s="1" t="s">
        <v>2176</v>
      </c>
      <c r="H86" s="1" t="s">
        <v>2177</v>
      </c>
      <c r="I86" s="2">
        <v>2024</v>
      </c>
      <c r="J86" s="1" t="s">
        <v>1821</v>
      </c>
      <c r="K86" s="1" t="s">
        <v>58</v>
      </c>
      <c r="L86" s="1" t="s">
        <v>131</v>
      </c>
      <c r="M86" s="1">
        <v>36</v>
      </c>
      <c r="N86" s="1">
        <v>8</v>
      </c>
      <c r="O86" s="1">
        <v>0</v>
      </c>
      <c r="P86" s="1">
        <v>2</v>
      </c>
      <c r="Q86" s="1" t="s">
        <v>2178</v>
      </c>
      <c r="R86" s="1" t="s">
        <v>2179</v>
      </c>
      <c r="S86" s="1" t="s">
        <v>2180</v>
      </c>
      <c r="T86" s="1" t="s">
        <v>2181</v>
      </c>
      <c r="U86" s="1" t="s">
        <v>2182</v>
      </c>
      <c r="V86" s="1">
        <v>94</v>
      </c>
      <c r="W86" s="1">
        <v>1</v>
      </c>
      <c r="X86" s="1" t="s">
        <v>2183</v>
      </c>
      <c r="Y86" s="1" t="str">
        <f>HYPERLINK("http://dx.doi.org/10.1007/s40010-023-00868-2","http://dx.doi.org/10.1007/s40010-023-00868-2")</f>
        <v>http://dx.doi.org/10.1007/s40010-023-00868-2</v>
      </c>
      <c r="Z86" s="1">
        <v>15</v>
      </c>
      <c r="AA86" s="1" t="s">
        <v>335</v>
      </c>
      <c r="AB86" s="1" t="s">
        <v>67</v>
      </c>
      <c r="AC86" s="1" t="s">
        <v>336</v>
      </c>
      <c r="AD86" s="1" t="s">
        <v>48</v>
      </c>
      <c r="AE86" s="1" t="s">
        <v>48</v>
      </c>
    </row>
    <row r="87" spans="1:31" s="1" customFormat="1" ht="18.5" x14ac:dyDescent="0.45">
      <c r="A87" s="1" t="s">
        <v>2222</v>
      </c>
      <c r="B87" s="1" t="s">
        <v>2223</v>
      </c>
      <c r="C87" s="1" t="s">
        <v>2224</v>
      </c>
      <c r="D87" s="1" t="s">
        <v>1779</v>
      </c>
      <c r="E87" s="1" t="s">
        <v>53</v>
      </c>
      <c r="F87" s="1" t="s">
        <v>2225</v>
      </c>
      <c r="G87" s="1" t="s">
        <v>2226</v>
      </c>
      <c r="H87" s="1" t="s">
        <v>2227</v>
      </c>
      <c r="I87" s="2">
        <v>2024</v>
      </c>
      <c r="J87" s="1" t="s">
        <v>2228</v>
      </c>
      <c r="K87" s="1" t="s">
        <v>58</v>
      </c>
      <c r="L87" s="1" t="s">
        <v>2229</v>
      </c>
      <c r="M87" s="1">
        <v>28</v>
      </c>
      <c r="N87" s="1">
        <v>0</v>
      </c>
      <c r="O87" s="1">
        <v>1</v>
      </c>
      <c r="P87" s="1">
        <v>1</v>
      </c>
      <c r="Q87" s="1" t="s">
        <v>1785</v>
      </c>
      <c r="R87" s="1" t="s">
        <v>1786</v>
      </c>
      <c r="S87" s="1" t="s">
        <v>1787</v>
      </c>
      <c r="T87" s="1" t="s">
        <v>1788</v>
      </c>
      <c r="U87" s="1" t="s">
        <v>1789</v>
      </c>
      <c r="V87" s="1">
        <v>26</v>
      </c>
      <c r="W87" s="1">
        <v>3</v>
      </c>
      <c r="X87" s="1" t="s">
        <v>2230</v>
      </c>
      <c r="Y87" s="1" t="str">
        <f>HYPERLINK("http://dx.doi.org/10.48165/abr.2024.26.01.49","http://dx.doi.org/10.48165/abr.2024.26.01.49")</f>
        <v>http://dx.doi.org/10.48165/abr.2024.26.01.49</v>
      </c>
      <c r="Z87" s="1">
        <v>5</v>
      </c>
      <c r="AA87" s="1" t="s">
        <v>1528</v>
      </c>
      <c r="AB87" s="1" t="s">
        <v>124</v>
      </c>
      <c r="AC87" s="1" t="s">
        <v>1528</v>
      </c>
      <c r="AD87" s="1" t="s">
        <v>48</v>
      </c>
      <c r="AE87" s="1" t="s">
        <v>48</v>
      </c>
    </row>
    <row r="88" spans="1:31" s="1" customFormat="1" ht="18.5" x14ac:dyDescent="0.45">
      <c r="A88" s="1" t="s">
        <v>2231</v>
      </c>
      <c r="B88" s="1" t="s">
        <v>2232</v>
      </c>
      <c r="C88" s="1" t="s">
        <v>2233</v>
      </c>
      <c r="D88" s="1" t="s">
        <v>2234</v>
      </c>
      <c r="E88" s="1" t="s">
        <v>53</v>
      </c>
      <c r="F88" s="1" t="s">
        <v>2235</v>
      </c>
      <c r="G88" s="1" t="s">
        <v>2236</v>
      </c>
      <c r="H88" s="1" t="s">
        <v>2237</v>
      </c>
      <c r="I88" s="2">
        <v>2024</v>
      </c>
      <c r="J88" s="1" t="s">
        <v>2238</v>
      </c>
      <c r="K88" s="1" t="s">
        <v>58</v>
      </c>
      <c r="L88" s="1" t="s">
        <v>1902</v>
      </c>
      <c r="M88" s="1">
        <v>49</v>
      </c>
      <c r="N88" s="1">
        <v>0</v>
      </c>
      <c r="O88" s="1">
        <v>0</v>
      </c>
      <c r="P88" s="1">
        <v>1</v>
      </c>
      <c r="Q88" s="1" t="s">
        <v>1242</v>
      </c>
      <c r="R88" s="1" t="s">
        <v>1243</v>
      </c>
      <c r="S88" s="1" t="s">
        <v>1244</v>
      </c>
      <c r="T88" s="1" t="s">
        <v>2239</v>
      </c>
      <c r="U88" s="1" t="s">
        <v>2240</v>
      </c>
      <c r="V88" s="1">
        <v>31</v>
      </c>
      <c r="W88" s="1">
        <v>8</v>
      </c>
      <c r="X88" s="1" t="s">
        <v>2241</v>
      </c>
      <c r="Y88" s="1" t="str">
        <f>HYPERLINK("http://dx.doi.org/10.1080/13504509.2024.2377247","http://dx.doi.org/10.1080/13504509.2024.2377247")</f>
        <v>http://dx.doi.org/10.1080/13504509.2024.2377247</v>
      </c>
      <c r="Z88" s="1">
        <v>14</v>
      </c>
      <c r="AA88" s="1" t="s">
        <v>2242</v>
      </c>
      <c r="AB88" s="1" t="s">
        <v>67</v>
      </c>
      <c r="AC88" s="1" t="s">
        <v>723</v>
      </c>
      <c r="AD88" s="1" t="s">
        <v>48</v>
      </c>
      <c r="AE88" s="1" t="s">
        <v>48</v>
      </c>
    </row>
    <row r="89" spans="1:31" s="1" customFormat="1" ht="18.5" x14ac:dyDescent="0.45">
      <c r="A89" s="1" t="s">
        <v>2243</v>
      </c>
      <c r="B89" s="1" t="s">
        <v>2244</v>
      </c>
      <c r="C89" s="1" t="s">
        <v>2245</v>
      </c>
      <c r="D89" s="1" t="s">
        <v>72</v>
      </c>
      <c r="E89" s="1" t="s">
        <v>53</v>
      </c>
      <c r="F89" s="1" t="s">
        <v>2246</v>
      </c>
      <c r="G89" s="1" t="s">
        <v>2247</v>
      </c>
      <c r="H89" s="1" t="s">
        <v>2248</v>
      </c>
      <c r="I89" s="2">
        <v>2024</v>
      </c>
      <c r="J89" s="1" t="s">
        <v>2249</v>
      </c>
      <c r="K89" s="1" t="s">
        <v>58</v>
      </c>
      <c r="L89" s="1" t="s">
        <v>2250</v>
      </c>
      <c r="M89" s="1">
        <v>129</v>
      </c>
      <c r="N89" s="1">
        <v>3</v>
      </c>
      <c r="O89" s="1">
        <v>8</v>
      </c>
      <c r="P89" s="1">
        <v>15</v>
      </c>
      <c r="Q89" s="1" t="s">
        <v>79</v>
      </c>
      <c r="R89" s="1" t="s">
        <v>80</v>
      </c>
      <c r="S89" s="1" t="s">
        <v>81</v>
      </c>
      <c r="T89" s="1" t="s">
        <v>82</v>
      </c>
      <c r="U89" s="1" t="s">
        <v>83</v>
      </c>
      <c r="V89" s="1">
        <v>268</v>
      </c>
      <c r="W89" s="1" t="s">
        <v>48</v>
      </c>
      <c r="X89" s="1" t="s">
        <v>2251</v>
      </c>
      <c r="Y89" s="1" t="str">
        <f>HYPERLINK("http://dx.doi.org/10.1016/j.ijbiomac.2024.131703","http://dx.doi.org/10.1016/j.ijbiomac.2024.131703")</f>
        <v>http://dx.doi.org/10.1016/j.ijbiomac.2024.131703</v>
      </c>
      <c r="Z89" s="1">
        <v>12</v>
      </c>
      <c r="AA89" s="1" t="s">
        <v>88</v>
      </c>
      <c r="AB89" s="1" t="s">
        <v>67</v>
      </c>
      <c r="AC89" s="1" t="s">
        <v>89</v>
      </c>
      <c r="AD89" s="1">
        <v>38643915</v>
      </c>
      <c r="AE89" s="1" t="s">
        <v>48</v>
      </c>
    </row>
    <row r="90" spans="1:31" s="1" customFormat="1" ht="18.5" x14ac:dyDescent="0.45">
      <c r="A90" s="1" t="s">
        <v>2252</v>
      </c>
      <c r="B90" s="1" t="s">
        <v>2253</v>
      </c>
      <c r="C90" s="1" t="s">
        <v>2254</v>
      </c>
      <c r="D90" s="1" t="s">
        <v>2255</v>
      </c>
      <c r="E90" s="1" t="s">
        <v>53</v>
      </c>
      <c r="F90" s="1" t="s">
        <v>2256</v>
      </c>
      <c r="G90" s="1" t="s">
        <v>48</v>
      </c>
      <c r="H90" s="1" t="s">
        <v>2257</v>
      </c>
      <c r="I90" s="2">
        <v>2024</v>
      </c>
      <c r="J90" s="1" t="s">
        <v>2258</v>
      </c>
      <c r="K90" s="1" t="s">
        <v>115</v>
      </c>
      <c r="L90" s="1" t="s">
        <v>2259</v>
      </c>
      <c r="M90" s="1">
        <v>45</v>
      </c>
      <c r="N90" s="1">
        <v>0</v>
      </c>
      <c r="O90" s="1">
        <v>0</v>
      </c>
      <c r="P90" s="1">
        <v>1</v>
      </c>
      <c r="Q90" s="1" t="s">
        <v>503</v>
      </c>
      <c r="R90" s="1" t="s">
        <v>504</v>
      </c>
      <c r="S90" s="1" t="s">
        <v>505</v>
      </c>
      <c r="T90" s="1" t="s">
        <v>2260</v>
      </c>
      <c r="U90" s="1" t="s">
        <v>2261</v>
      </c>
      <c r="V90" s="1">
        <v>49</v>
      </c>
      <c r="W90" s="1">
        <v>1</v>
      </c>
      <c r="X90" s="1" t="s">
        <v>2262</v>
      </c>
      <c r="Y90" s="1" t="str">
        <f>HYPERLINK("http://dx.doi.org/10.1007/s12126-023-09532-x","http://dx.doi.org/10.1007/s12126-023-09532-x")</f>
        <v>http://dx.doi.org/10.1007/s12126-023-09532-x</v>
      </c>
      <c r="Z90" s="1">
        <v>16</v>
      </c>
      <c r="AA90" s="1" t="s">
        <v>2263</v>
      </c>
      <c r="AB90" s="1" t="s">
        <v>124</v>
      </c>
      <c r="AC90" s="1" t="s">
        <v>2264</v>
      </c>
      <c r="AD90" s="1" t="s">
        <v>48</v>
      </c>
      <c r="AE90" s="1" t="s">
        <v>48</v>
      </c>
    </row>
    <row r="91" spans="1:31" s="1" customFormat="1" ht="18.5" x14ac:dyDescent="0.45">
      <c r="A91" s="1" t="s">
        <v>2294</v>
      </c>
      <c r="B91" s="1" t="s">
        <v>2295</v>
      </c>
      <c r="C91" s="1" t="s">
        <v>2296</v>
      </c>
      <c r="D91" s="1" t="s">
        <v>2194</v>
      </c>
      <c r="E91" s="1" t="s">
        <v>53</v>
      </c>
      <c r="F91" s="1" t="s">
        <v>2297</v>
      </c>
      <c r="G91" s="1" t="s">
        <v>2298</v>
      </c>
      <c r="H91" s="1" t="s">
        <v>2299</v>
      </c>
      <c r="I91" s="2">
        <v>2024</v>
      </c>
      <c r="J91" s="1" t="s">
        <v>2300</v>
      </c>
      <c r="K91" s="1" t="s">
        <v>115</v>
      </c>
      <c r="L91" s="1" t="s">
        <v>2301</v>
      </c>
      <c r="M91" s="1">
        <v>36</v>
      </c>
      <c r="N91" s="1">
        <v>0</v>
      </c>
      <c r="O91" s="1">
        <v>1</v>
      </c>
      <c r="P91" s="1">
        <v>1</v>
      </c>
      <c r="Q91" s="1" t="s">
        <v>503</v>
      </c>
      <c r="R91" s="1" t="s">
        <v>542</v>
      </c>
      <c r="S91" s="1" t="s">
        <v>543</v>
      </c>
      <c r="T91" s="1" t="s">
        <v>2195</v>
      </c>
      <c r="U91" s="1" t="s">
        <v>2196</v>
      </c>
      <c r="V91" s="1">
        <v>89</v>
      </c>
      <c r="W91" s="1">
        <v>4</v>
      </c>
      <c r="X91" s="1" t="s">
        <v>2302</v>
      </c>
      <c r="Y91" s="1" t="str">
        <f>HYPERLINK("http://dx.doi.org/10.1007/s10708-024-11112-8","http://dx.doi.org/10.1007/s10708-024-11112-8")</f>
        <v>http://dx.doi.org/10.1007/s10708-024-11112-8</v>
      </c>
      <c r="Z91" s="1">
        <v>20</v>
      </c>
      <c r="AA91" s="1" t="s">
        <v>493</v>
      </c>
      <c r="AB91" s="1" t="s">
        <v>124</v>
      </c>
      <c r="AC91" s="1" t="s">
        <v>493</v>
      </c>
      <c r="AD91" s="1" t="s">
        <v>48</v>
      </c>
      <c r="AE91" s="1" t="s">
        <v>48</v>
      </c>
    </row>
    <row r="92" spans="1:31" s="1" customFormat="1" ht="18.5" x14ac:dyDescent="0.45">
      <c r="A92" s="1" t="s">
        <v>976</v>
      </c>
      <c r="B92" s="1" t="s">
        <v>977</v>
      </c>
      <c r="C92" s="1" t="s">
        <v>2303</v>
      </c>
      <c r="D92" s="1" t="s">
        <v>778</v>
      </c>
      <c r="E92" s="1" t="s">
        <v>53</v>
      </c>
      <c r="F92" s="1" t="s">
        <v>2304</v>
      </c>
      <c r="G92" s="1" t="s">
        <v>2305</v>
      </c>
      <c r="H92" s="1" t="s">
        <v>2306</v>
      </c>
      <c r="I92" s="2">
        <v>2024</v>
      </c>
      <c r="J92" s="1" t="s">
        <v>2307</v>
      </c>
      <c r="K92" s="1" t="s">
        <v>58</v>
      </c>
      <c r="L92" s="1" t="s">
        <v>2308</v>
      </c>
      <c r="M92" s="1">
        <v>73</v>
      </c>
      <c r="N92" s="1">
        <v>1</v>
      </c>
      <c r="O92" s="1">
        <v>8</v>
      </c>
      <c r="P92" s="1">
        <v>8</v>
      </c>
      <c r="Q92" s="1" t="s">
        <v>79</v>
      </c>
      <c r="R92" s="1" t="s">
        <v>80</v>
      </c>
      <c r="S92" s="1" t="s">
        <v>81</v>
      </c>
      <c r="T92" s="1" t="s">
        <v>784</v>
      </c>
      <c r="U92" s="1" t="s">
        <v>785</v>
      </c>
      <c r="V92" s="1">
        <v>243</v>
      </c>
      <c r="W92" s="1" t="s">
        <v>48</v>
      </c>
      <c r="X92" s="1" t="s">
        <v>2309</v>
      </c>
      <c r="Y92" s="1" t="str">
        <f>HYPERLINK("http://dx.doi.org/10.1016/j.catena.2024.108186","http://dx.doi.org/10.1016/j.catena.2024.108186")</f>
        <v>http://dx.doi.org/10.1016/j.catena.2024.108186</v>
      </c>
      <c r="Z92" s="1">
        <v>27</v>
      </c>
      <c r="AA92" s="1" t="s">
        <v>787</v>
      </c>
      <c r="AB92" s="1" t="s">
        <v>67</v>
      </c>
      <c r="AC92" s="1" t="s">
        <v>788</v>
      </c>
      <c r="AD92" s="1" t="s">
        <v>48</v>
      </c>
      <c r="AE92" s="1" t="s">
        <v>48</v>
      </c>
    </row>
    <row r="93" spans="1:31" s="1" customFormat="1" ht="18.5" x14ac:dyDescent="0.45">
      <c r="A93" s="1" t="s">
        <v>2339</v>
      </c>
      <c r="B93" s="1" t="s">
        <v>2340</v>
      </c>
      <c r="C93" s="1" t="s">
        <v>2341</v>
      </c>
      <c r="D93" s="1" t="s">
        <v>2342</v>
      </c>
      <c r="E93" s="1" t="s">
        <v>53</v>
      </c>
      <c r="F93" s="1" t="s">
        <v>2343</v>
      </c>
      <c r="G93" s="1" t="s">
        <v>2344</v>
      </c>
      <c r="H93" s="1" t="s">
        <v>2345</v>
      </c>
      <c r="I93" s="2">
        <v>2024</v>
      </c>
      <c r="J93" s="1" t="s">
        <v>2346</v>
      </c>
      <c r="K93" s="1" t="s">
        <v>58</v>
      </c>
      <c r="L93" s="1" t="s">
        <v>2347</v>
      </c>
      <c r="M93" s="1">
        <v>25</v>
      </c>
      <c r="N93" s="1">
        <v>0</v>
      </c>
      <c r="O93" s="1">
        <v>1</v>
      </c>
      <c r="P93" s="1">
        <v>1</v>
      </c>
      <c r="Q93" s="1" t="s">
        <v>503</v>
      </c>
      <c r="R93" s="1" t="s">
        <v>542</v>
      </c>
      <c r="S93" s="1" t="s">
        <v>543</v>
      </c>
      <c r="T93" s="1" t="s">
        <v>2348</v>
      </c>
      <c r="U93" s="1" t="s">
        <v>2349</v>
      </c>
      <c r="V93" s="1">
        <v>87</v>
      </c>
      <c r="W93" s="1">
        <v>1</v>
      </c>
      <c r="X93" s="1" t="s">
        <v>2350</v>
      </c>
      <c r="Y93" s="1" t="str">
        <f>HYPERLINK("http://dx.doi.org/10.1007/s11235-024-01165-y","http://dx.doi.org/10.1007/s11235-024-01165-y")</f>
        <v>http://dx.doi.org/10.1007/s11235-024-01165-y</v>
      </c>
      <c r="Z93" s="1">
        <v>12</v>
      </c>
      <c r="AA93" s="1" t="s">
        <v>1392</v>
      </c>
      <c r="AB93" s="1" t="s">
        <v>67</v>
      </c>
      <c r="AC93" s="1" t="s">
        <v>1392</v>
      </c>
      <c r="AD93" s="1" t="s">
        <v>48</v>
      </c>
      <c r="AE93" s="1" t="s">
        <v>48</v>
      </c>
    </row>
    <row r="94" spans="1:31" s="1" customFormat="1" ht="18.5" x14ac:dyDescent="0.45">
      <c r="A94" s="1" t="s">
        <v>2351</v>
      </c>
      <c r="B94" s="1" t="s">
        <v>2352</v>
      </c>
      <c r="C94" s="1" t="s">
        <v>2353</v>
      </c>
      <c r="D94" s="1" t="s">
        <v>2354</v>
      </c>
      <c r="E94" s="1" t="s">
        <v>1114</v>
      </c>
      <c r="F94" s="1" t="s">
        <v>2355</v>
      </c>
      <c r="G94" s="1" t="s">
        <v>2356</v>
      </c>
      <c r="H94" s="1" t="s">
        <v>2357</v>
      </c>
      <c r="I94" s="2">
        <v>2024</v>
      </c>
      <c r="J94" s="1" t="s">
        <v>2358</v>
      </c>
      <c r="K94" s="1" t="s">
        <v>58</v>
      </c>
      <c r="L94" s="1" t="s">
        <v>2359</v>
      </c>
      <c r="M94" s="1">
        <v>111</v>
      </c>
      <c r="N94" s="1">
        <v>1</v>
      </c>
      <c r="O94" s="1">
        <v>2</v>
      </c>
      <c r="P94" s="1">
        <v>7</v>
      </c>
      <c r="Q94" s="1" t="s">
        <v>2360</v>
      </c>
      <c r="R94" s="1" t="s">
        <v>2361</v>
      </c>
      <c r="S94" s="1" t="s">
        <v>2362</v>
      </c>
      <c r="T94" s="1" t="s">
        <v>2363</v>
      </c>
      <c r="U94" s="1" t="s">
        <v>2364</v>
      </c>
      <c r="V94" s="1">
        <v>21</v>
      </c>
      <c r="W94" s="1">
        <v>11</v>
      </c>
      <c r="X94" s="1" t="s">
        <v>2365</v>
      </c>
      <c r="Y94" s="1" t="str">
        <f>HYPERLINK("http://dx.doi.org/10.2174/0115701786292045240226050222","http://dx.doi.org/10.2174/0115701786292045240226050222")</f>
        <v>http://dx.doi.org/10.2174/0115701786292045240226050222</v>
      </c>
      <c r="Z94" s="1">
        <v>29</v>
      </c>
      <c r="AA94" s="1" t="s">
        <v>2366</v>
      </c>
      <c r="AB94" s="1" t="s">
        <v>67</v>
      </c>
      <c r="AC94" s="1" t="s">
        <v>2293</v>
      </c>
      <c r="AD94" s="1" t="s">
        <v>48</v>
      </c>
      <c r="AE94" s="1" t="s">
        <v>48</v>
      </c>
    </row>
    <row r="95" spans="1:31" s="1" customFormat="1" ht="18.5" x14ac:dyDescent="0.45">
      <c r="A95" s="1" t="s">
        <v>2367</v>
      </c>
      <c r="B95" s="1" t="s">
        <v>2368</v>
      </c>
      <c r="C95" s="1" t="s">
        <v>2369</v>
      </c>
      <c r="D95" s="1" t="s">
        <v>2370</v>
      </c>
      <c r="E95" s="1" t="s">
        <v>53</v>
      </c>
      <c r="F95" s="1" t="s">
        <v>2371</v>
      </c>
      <c r="G95" s="1" t="s">
        <v>48</v>
      </c>
      <c r="H95" s="1" t="s">
        <v>2372</v>
      </c>
      <c r="I95" s="2">
        <v>2024</v>
      </c>
      <c r="J95" s="1" t="s">
        <v>2373</v>
      </c>
      <c r="K95" s="1" t="s">
        <v>2374</v>
      </c>
      <c r="L95" s="1" t="s">
        <v>2375</v>
      </c>
      <c r="M95" s="1">
        <v>20</v>
      </c>
      <c r="N95" s="1">
        <v>0</v>
      </c>
      <c r="O95" s="1">
        <v>0</v>
      </c>
      <c r="P95" s="1">
        <v>0</v>
      </c>
      <c r="Q95" s="1" t="s">
        <v>2376</v>
      </c>
      <c r="R95" s="1" t="s">
        <v>2377</v>
      </c>
      <c r="S95" s="1" t="s">
        <v>2378</v>
      </c>
      <c r="T95" s="1" t="s">
        <v>2379</v>
      </c>
      <c r="U95" s="1" t="s">
        <v>2380</v>
      </c>
      <c r="V95" s="1">
        <v>42</v>
      </c>
      <c r="W95" s="1" t="s">
        <v>48</v>
      </c>
      <c r="X95" s="1" t="s">
        <v>2381</v>
      </c>
      <c r="Y95" s="1" t="str">
        <f>HYPERLINK("http://dx.doi.org/10.5269/bspm.65472","http://dx.doi.org/10.5269/bspm.65472")</f>
        <v>http://dx.doi.org/10.5269/bspm.65472</v>
      </c>
      <c r="Z95" s="1">
        <v>5</v>
      </c>
      <c r="AA95" s="1" t="s">
        <v>137</v>
      </c>
      <c r="AB95" s="1" t="s">
        <v>124</v>
      </c>
      <c r="AC95" s="1" t="s">
        <v>137</v>
      </c>
      <c r="AD95" s="1" t="s">
        <v>48</v>
      </c>
      <c r="AE95" s="1" t="s">
        <v>125</v>
      </c>
    </row>
    <row r="96" spans="1:31" s="1" customFormat="1" ht="18.5" x14ac:dyDescent="0.45">
      <c r="A96" s="1" t="s">
        <v>2392</v>
      </c>
      <c r="B96" s="1" t="s">
        <v>2393</v>
      </c>
      <c r="C96" s="1" t="s">
        <v>2394</v>
      </c>
      <c r="D96" s="1" t="s">
        <v>2395</v>
      </c>
      <c r="E96" s="1" t="s">
        <v>53</v>
      </c>
      <c r="F96" s="1" t="s">
        <v>2396</v>
      </c>
      <c r="G96" s="1" t="s">
        <v>2397</v>
      </c>
      <c r="H96" s="1" t="s">
        <v>2398</v>
      </c>
      <c r="I96" s="2">
        <v>2024</v>
      </c>
      <c r="J96" s="1" t="s">
        <v>2399</v>
      </c>
      <c r="K96" s="1" t="s">
        <v>115</v>
      </c>
      <c r="L96" s="1" t="s">
        <v>829</v>
      </c>
      <c r="M96" s="1">
        <v>33</v>
      </c>
      <c r="N96" s="1">
        <v>2</v>
      </c>
      <c r="O96" s="1">
        <v>0</v>
      </c>
      <c r="P96" s="1">
        <v>1</v>
      </c>
      <c r="Q96" s="1" t="s">
        <v>2400</v>
      </c>
      <c r="R96" s="1" t="s">
        <v>2401</v>
      </c>
      <c r="S96" s="1" t="s">
        <v>2402</v>
      </c>
      <c r="T96" s="1" t="s">
        <v>2403</v>
      </c>
      <c r="U96" s="1" t="s">
        <v>2404</v>
      </c>
      <c r="V96" s="1">
        <v>84</v>
      </c>
      <c r="W96" s="1">
        <v>4</v>
      </c>
      <c r="X96" s="1" t="s">
        <v>2405</v>
      </c>
      <c r="Y96" s="1" t="str">
        <f>HYPERLINK("http://dx.doi.org/10.1007/s40042-023-00985-6","http://dx.doi.org/10.1007/s40042-023-00985-6")</f>
        <v>http://dx.doi.org/10.1007/s40042-023-00985-6</v>
      </c>
      <c r="Z96" s="1">
        <v>10</v>
      </c>
      <c r="AA96" s="1" t="s">
        <v>669</v>
      </c>
      <c r="AB96" s="1" t="s">
        <v>67</v>
      </c>
      <c r="AC96" s="1" t="s">
        <v>670</v>
      </c>
      <c r="AD96" s="1" t="s">
        <v>48</v>
      </c>
      <c r="AE96" s="1" t="s">
        <v>48</v>
      </c>
    </row>
    <row r="97" spans="1:31" s="1" customFormat="1" ht="18.5" x14ac:dyDescent="0.45">
      <c r="A97" s="1" t="s">
        <v>2413</v>
      </c>
      <c r="B97" s="1" t="s">
        <v>2414</v>
      </c>
      <c r="C97" s="1" t="s">
        <v>2415</v>
      </c>
      <c r="D97" s="1" t="s">
        <v>1520</v>
      </c>
      <c r="E97" s="1" t="s">
        <v>53</v>
      </c>
      <c r="F97" s="1" t="s">
        <v>2416</v>
      </c>
      <c r="G97" s="1" t="s">
        <v>2417</v>
      </c>
      <c r="H97" s="1" t="s">
        <v>2418</v>
      </c>
      <c r="I97" s="2">
        <v>2024</v>
      </c>
      <c r="J97" s="1" t="s">
        <v>2419</v>
      </c>
      <c r="K97" s="1" t="s">
        <v>115</v>
      </c>
      <c r="L97" s="1" t="s">
        <v>1862</v>
      </c>
      <c r="M97" s="1">
        <v>43</v>
      </c>
      <c r="N97" s="1">
        <v>0</v>
      </c>
      <c r="O97" s="1">
        <v>3</v>
      </c>
      <c r="P97" s="1">
        <v>3</v>
      </c>
      <c r="Q97" s="1" t="s">
        <v>1523</v>
      </c>
      <c r="R97" s="1" t="s">
        <v>632</v>
      </c>
      <c r="S97" s="1" t="s">
        <v>1524</v>
      </c>
      <c r="T97" s="1" t="s">
        <v>1525</v>
      </c>
      <c r="U97" s="1" t="s">
        <v>1526</v>
      </c>
      <c r="V97" s="1">
        <v>4</v>
      </c>
      <c r="W97" s="1">
        <v>4</v>
      </c>
      <c r="X97" s="1" t="s">
        <v>2420</v>
      </c>
      <c r="Y97" s="1" t="str">
        <f>HYPERLINK("http://dx.doi.org/10.1007/s43393-024-00265-9","http://dx.doi.org/10.1007/s43393-024-00265-9")</f>
        <v>http://dx.doi.org/10.1007/s43393-024-00265-9</v>
      </c>
      <c r="Z97" s="1">
        <v>14</v>
      </c>
      <c r="AA97" s="1" t="s">
        <v>1528</v>
      </c>
      <c r="AB97" s="1" t="s">
        <v>124</v>
      </c>
      <c r="AC97" s="1" t="s">
        <v>1528</v>
      </c>
      <c r="AD97" s="1" t="s">
        <v>48</v>
      </c>
      <c r="AE97" s="1" t="s">
        <v>48</v>
      </c>
    </row>
    <row r="98" spans="1:31" s="1" customFormat="1" ht="18.5" x14ac:dyDescent="0.45">
      <c r="A98" s="1" t="s">
        <v>2421</v>
      </c>
      <c r="B98" s="1" t="s">
        <v>2422</v>
      </c>
      <c r="C98" s="1" t="s">
        <v>2423</v>
      </c>
      <c r="D98" s="1" t="s">
        <v>2424</v>
      </c>
      <c r="E98" s="1" t="s">
        <v>53</v>
      </c>
      <c r="F98" s="1" t="s">
        <v>2425</v>
      </c>
      <c r="G98" s="1" t="s">
        <v>48</v>
      </c>
      <c r="H98" s="1" t="s">
        <v>2426</v>
      </c>
      <c r="I98" s="2">
        <v>2024</v>
      </c>
      <c r="J98" s="1" t="s">
        <v>2427</v>
      </c>
      <c r="K98" s="1" t="s">
        <v>58</v>
      </c>
      <c r="L98" s="1" t="s">
        <v>2428</v>
      </c>
      <c r="M98" s="1">
        <v>41</v>
      </c>
      <c r="N98" s="1">
        <v>0</v>
      </c>
      <c r="O98" s="1">
        <v>1</v>
      </c>
      <c r="P98" s="1">
        <v>1</v>
      </c>
      <c r="Q98" s="1" t="s">
        <v>2429</v>
      </c>
      <c r="R98" s="1" t="s">
        <v>2430</v>
      </c>
      <c r="S98" s="1" t="s">
        <v>2431</v>
      </c>
      <c r="T98" s="1" t="s">
        <v>2432</v>
      </c>
      <c r="U98" s="1" t="s">
        <v>48</v>
      </c>
      <c r="V98" s="1">
        <v>8</v>
      </c>
      <c r="W98" s="1">
        <v>1</v>
      </c>
      <c r="X98" s="1" t="s">
        <v>2433</v>
      </c>
      <c r="Y98" s="1" t="str">
        <f>HYPERLINK("http://dx.doi.org/10.1515/culture-2024-0023","http://dx.doi.org/10.1515/culture-2024-0023")</f>
        <v>http://dx.doi.org/10.1515/culture-2024-0023</v>
      </c>
      <c r="Z98" s="1">
        <v>15</v>
      </c>
      <c r="AA98" s="1" t="s">
        <v>2434</v>
      </c>
      <c r="AB98" s="1" t="s">
        <v>124</v>
      </c>
      <c r="AC98" s="1" t="s">
        <v>2434</v>
      </c>
      <c r="AD98" s="1" t="s">
        <v>48</v>
      </c>
      <c r="AE98" s="1" t="s">
        <v>125</v>
      </c>
    </row>
    <row r="99" spans="1:31" s="1" customFormat="1" ht="18.5" x14ac:dyDescent="0.45">
      <c r="A99" s="1" t="s">
        <v>2461</v>
      </c>
      <c r="B99" s="1" t="s">
        <v>2462</v>
      </c>
      <c r="C99" s="1" t="s">
        <v>2463</v>
      </c>
      <c r="D99" s="1" t="s">
        <v>2464</v>
      </c>
      <c r="E99" s="1" t="s">
        <v>53</v>
      </c>
      <c r="F99" s="1" t="s">
        <v>48</v>
      </c>
      <c r="G99" s="1" t="s">
        <v>2465</v>
      </c>
      <c r="H99" s="1" t="s">
        <v>2466</v>
      </c>
      <c r="I99" s="2">
        <v>2024</v>
      </c>
      <c r="J99" s="1" t="s">
        <v>2467</v>
      </c>
      <c r="K99" s="1" t="s">
        <v>58</v>
      </c>
      <c r="L99" s="1" t="s">
        <v>2468</v>
      </c>
      <c r="M99" s="1">
        <v>37</v>
      </c>
      <c r="N99" s="1">
        <v>1</v>
      </c>
      <c r="O99" s="1">
        <v>0</v>
      </c>
      <c r="P99" s="1">
        <v>0</v>
      </c>
      <c r="Q99" s="1" t="s">
        <v>2469</v>
      </c>
      <c r="R99" s="1" t="s">
        <v>504</v>
      </c>
      <c r="S99" s="1" t="s">
        <v>2470</v>
      </c>
      <c r="T99" s="1" t="s">
        <v>2471</v>
      </c>
      <c r="U99" s="1" t="s">
        <v>2472</v>
      </c>
      <c r="V99" s="1">
        <v>33</v>
      </c>
      <c r="W99" s="1">
        <v>3</v>
      </c>
      <c r="X99" s="1" t="s">
        <v>2473</v>
      </c>
      <c r="Y99" s="1" t="str">
        <f>HYPERLINK("http://dx.doi.org/10.1134/S1810232824030135","http://dx.doi.org/10.1134/S1810232824030135")</f>
        <v>http://dx.doi.org/10.1134/S1810232824030135</v>
      </c>
      <c r="Z99" s="1">
        <v>24</v>
      </c>
      <c r="AA99" s="1" t="s">
        <v>2474</v>
      </c>
      <c r="AB99" s="1" t="s">
        <v>67</v>
      </c>
      <c r="AC99" s="1" t="s">
        <v>2475</v>
      </c>
      <c r="AD99" s="1" t="s">
        <v>48</v>
      </c>
      <c r="AE99" s="1" t="s">
        <v>48</v>
      </c>
    </row>
    <row r="100" spans="1:31" s="1" customFormat="1" ht="18.5" x14ac:dyDescent="0.45">
      <c r="A100" s="1" t="s">
        <v>2489</v>
      </c>
      <c r="B100" s="1" t="s">
        <v>2490</v>
      </c>
      <c r="C100" s="1" t="s">
        <v>2491</v>
      </c>
      <c r="D100" s="1" t="s">
        <v>2492</v>
      </c>
      <c r="E100" s="1" t="s">
        <v>585</v>
      </c>
      <c r="F100" s="1" t="s">
        <v>48</v>
      </c>
      <c r="G100" s="1" t="s">
        <v>2493</v>
      </c>
      <c r="H100" s="1" t="s">
        <v>48</v>
      </c>
      <c r="I100" s="2">
        <v>2024</v>
      </c>
      <c r="J100" s="1" t="s">
        <v>2494</v>
      </c>
      <c r="K100" s="1" t="s">
        <v>58</v>
      </c>
      <c r="L100" s="1" t="s">
        <v>2495</v>
      </c>
      <c r="M100" s="1">
        <v>61</v>
      </c>
      <c r="N100" s="1">
        <v>0</v>
      </c>
      <c r="O100" s="1">
        <v>0</v>
      </c>
      <c r="P100" s="1">
        <v>0</v>
      </c>
      <c r="Q100" s="1" t="s">
        <v>1805</v>
      </c>
      <c r="R100" s="1" t="s">
        <v>146</v>
      </c>
      <c r="S100" s="1" t="s">
        <v>1806</v>
      </c>
      <c r="T100" s="1" t="s">
        <v>48</v>
      </c>
      <c r="U100" s="1" t="s">
        <v>48</v>
      </c>
      <c r="V100" s="1" t="s">
        <v>48</v>
      </c>
      <c r="W100" s="1" t="s">
        <v>48</v>
      </c>
      <c r="X100" s="1" t="s">
        <v>2496</v>
      </c>
      <c r="Y100" s="1" t="str">
        <f>HYPERLINK("http://dx.doi.org/10.4324/9781003430636-17","http://dx.doi.org/10.4324/9781003430636-17")</f>
        <v>http://dx.doi.org/10.4324/9781003430636-17</v>
      </c>
      <c r="Z100" s="1">
        <v>24</v>
      </c>
      <c r="AA100" s="1" t="s">
        <v>2497</v>
      </c>
      <c r="AB100" s="1" t="s">
        <v>2498</v>
      </c>
      <c r="AC100" s="1" t="s">
        <v>2497</v>
      </c>
      <c r="AD100" s="1" t="s">
        <v>48</v>
      </c>
      <c r="AE100" s="1" t="s">
        <v>48</v>
      </c>
    </row>
    <row r="101" spans="1:31" s="1" customFormat="1" ht="18.5" x14ac:dyDescent="0.45">
      <c r="A101" s="1" t="s">
        <v>2532</v>
      </c>
      <c r="B101" s="1" t="s">
        <v>2533</v>
      </c>
      <c r="C101" s="1" t="s">
        <v>2534</v>
      </c>
      <c r="D101" s="1" t="s">
        <v>1686</v>
      </c>
      <c r="E101" s="1" t="s">
        <v>53</v>
      </c>
      <c r="F101" s="1" t="s">
        <v>2535</v>
      </c>
      <c r="G101" s="1" t="s">
        <v>2536</v>
      </c>
      <c r="H101" s="1" t="s">
        <v>2537</v>
      </c>
      <c r="I101" s="2">
        <v>2024</v>
      </c>
      <c r="J101" s="1" t="s">
        <v>2538</v>
      </c>
      <c r="K101" s="1" t="s">
        <v>58</v>
      </c>
      <c r="L101" s="1" t="s">
        <v>2539</v>
      </c>
      <c r="M101" s="1">
        <v>26</v>
      </c>
      <c r="N101" s="1">
        <v>0</v>
      </c>
      <c r="O101" s="1">
        <v>0</v>
      </c>
      <c r="P101" s="1">
        <v>0</v>
      </c>
      <c r="Q101" s="1" t="s">
        <v>1687</v>
      </c>
      <c r="R101" s="1" t="s">
        <v>1688</v>
      </c>
      <c r="S101" s="1" t="s">
        <v>1689</v>
      </c>
      <c r="T101" s="1" t="s">
        <v>1690</v>
      </c>
      <c r="U101" s="1" t="s">
        <v>1691</v>
      </c>
      <c r="V101" s="1">
        <v>13</v>
      </c>
      <c r="W101" s="1">
        <v>2</v>
      </c>
      <c r="X101" s="1" t="s">
        <v>2540</v>
      </c>
      <c r="Y101" s="1" t="str">
        <f>HYPERLINK("http://dx.doi.org/10.5530/jscires.13.2.37","http://dx.doi.org/10.5530/jscires.13.2.37")</f>
        <v>http://dx.doi.org/10.5530/jscires.13.2.37</v>
      </c>
      <c r="Z101" s="1">
        <v>9</v>
      </c>
      <c r="AA101" s="1" t="s">
        <v>1158</v>
      </c>
      <c r="AB101" s="1" t="s">
        <v>124</v>
      </c>
      <c r="AC101" s="1" t="s">
        <v>1158</v>
      </c>
      <c r="AD101" s="1" t="s">
        <v>48</v>
      </c>
      <c r="AE101" s="1" t="s">
        <v>1696</v>
      </c>
    </row>
    <row r="102" spans="1:31" s="1" customFormat="1" ht="18.5" x14ac:dyDescent="0.45">
      <c r="A102" s="1" t="s">
        <v>2541</v>
      </c>
      <c r="B102" s="1" t="s">
        <v>2542</v>
      </c>
      <c r="C102" s="1" t="s">
        <v>2543</v>
      </c>
      <c r="D102" s="1" t="s">
        <v>2544</v>
      </c>
      <c r="E102" s="1" t="s">
        <v>1114</v>
      </c>
      <c r="F102" s="1" t="s">
        <v>2545</v>
      </c>
      <c r="G102" s="1" t="s">
        <v>2546</v>
      </c>
      <c r="H102" s="1" t="s">
        <v>2547</v>
      </c>
      <c r="I102" s="2">
        <v>2024</v>
      </c>
      <c r="J102" s="1" t="s">
        <v>2548</v>
      </c>
      <c r="K102" s="1" t="s">
        <v>58</v>
      </c>
      <c r="L102" s="1" t="s">
        <v>2549</v>
      </c>
      <c r="M102" s="1">
        <v>255</v>
      </c>
      <c r="N102" s="1">
        <v>2</v>
      </c>
      <c r="O102" s="1">
        <v>1</v>
      </c>
      <c r="P102" s="1">
        <v>2</v>
      </c>
      <c r="Q102" s="1" t="s">
        <v>748</v>
      </c>
      <c r="R102" s="1" t="s">
        <v>749</v>
      </c>
      <c r="S102" s="1" t="s">
        <v>750</v>
      </c>
      <c r="T102" s="1" t="s">
        <v>2550</v>
      </c>
      <c r="U102" s="1" t="s">
        <v>2551</v>
      </c>
      <c r="V102" s="1">
        <v>23</v>
      </c>
      <c r="W102" s="1">
        <v>4</v>
      </c>
      <c r="X102" s="1" t="s">
        <v>2552</v>
      </c>
      <c r="Y102" s="1" t="str">
        <f>HYPERLINK("http://dx.doi.org/10.1142/S0219581X24300025","http://dx.doi.org/10.1142/S0219581X24300025")</f>
        <v>http://dx.doi.org/10.1142/S0219581X24300025</v>
      </c>
      <c r="Z102" s="1">
        <v>47</v>
      </c>
      <c r="AA102" s="1" t="s">
        <v>2553</v>
      </c>
      <c r="AB102" s="1" t="s">
        <v>124</v>
      </c>
      <c r="AC102" s="1" t="s">
        <v>336</v>
      </c>
      <c r="AD102" s="1" t="s">
        <v>48</v>
      </c>
      <c r="AE102" s="1" t="s">
        <v>48</v>
      </c>
    </row>
    <row r="103" spans="1:31" s="1" customFormat="1" ht="18.5" x14ac:dyDescent="0.45">
      <c r="A103" s="1" t="s">
        <v>2554</v>
      </c>
      <c r="B103" s="1" t="s">
        <v>2555</v>
      </c>
      <c r="C103" s="1" t="s">
        <v>2556</v>
      </c>
      <c r="D103" s="1" t="s">
        <v>1812</v>
      </c>
      <c r="E103" s="1" t="s">
        <v>53</v>
      </c>
      <c r="F103" s="1" t="s">
        <v>2557</v>
      </c>
      <c r="G103" s="1" t="s">
        <v>2558</v>
      </c>
      <c r="H103" s="1" t="s">
        <v>2559</v>
      </c>
      <c r="I103" s="2">
        <v>2024</v>
      </c>
      <c r="J103" s="1" t="s">
        <v>2560</v>
      </c>
      <c r="K103" s="1" t="s">
        <v>58</v>
      </c>
      <c r="L103" s="1" t="s">
        <v>1045</v>
      </c>
      <c r="M103" s="1">
        <v>36</v>
      </c>
      <c r="N103" s="1">
        <v>13</v>
      </c>
      <c r="O103" s="1">
        <v>0</v>
      </c>
      <c r="P103" s="1">
        <v>2</v>
      </c>
      <c r="Q103" s="1" t="s">
        <v>503</v>
      </c>
      <c r="R103" s="1" t="s">
        <v>504</v>
      </c>
      <c r="S103" s="1" t="s">
        <v>505</v>
      </c>
      <c r="T103" s="1" t="s">
        <v>1814</v>
      </c>
      <c r="U103" s="1" t="s">
        <v>1815</v>
      </c>
      <c r="V103" s="1">
        <v>28</v>
      </c>
      <c r="W103" s="1">
        <v>3</v>
      </c>
      <c r="X103" s="1" t="s">
        <v>2561</v>
      </c>
      <c r="Y103" s="1" t="str">
        <f>HYPERLINK("http://dx.doi.org/10.1007/s00500-023-09453-6","http://dx.doi.org/10.1007/s00500-023-09453-6")</f>
        <v>http://dx.doi.org/10.1007/s00500-023-09453-6</v>
      </c>
      <c r="Z103" s="1">
        <v>14</v>
      </c>
      <c r="AA103" s="1" t="s">
        <v>1746</v>
      </c>
      <c r="AB103" s="1" t="s">
        <v>67</v>
      </c>
      <c r="AC103" s="1" t="s">
        <v>292</v>
      </c>
      <c r="AD103" s="1" t="s">
        <v>48</v>
      </c>
      <c r="AE103" s="1" t="s">
        <v>48</v>
      </c>
    </row>
    <row r="104" spans="1:31" s="1" customFormat="1" ht="18.5" x14ac:dyDescent="0.45">
      <c r="A104" s="1" t="s">
        <v>2572</v>
      </c>
      <c r="B104" s="1" t="s">
        <v>2573</v>
      </c>
      <c r="C104" s="1" t="s">
        <v>2574</v>
      </c>
      <c r="D104" s="1" t="s">
        <v>2575</v>
      </c>
      <c r="E104" s="1" t="s">
        <v>53</v>
      </c>
      <c r="F104" s="1" t="s">
        <v>2576</v>
      </c>
      <c r="G104" s="1" t="s">
        <v>2577</v>
      </c>
      <c r="H104" s="1" t="s">
        <v>2578</v>
      </c>
      <c r="I104" s="2">
        <v>2024</v>
      </c>
      <c r="J104" s="1" t="s">
        <v>2579</v>
      </c>
      <c r="K104" s="1" t="s">
        <v>58</v>
      </c>
      <c r="L104" s="1" t="s">
        <v>2580</v>
      </c>
      <c r="M104" s="1">
        <v>61</v>
      </c>
      <c r="N104" s="1">
        <v>2</v>
      </c>
      <c r="O104" s="1">
        <v>4</v>
      </c>
      <c r="P104" s="1">
        <v>13</v>
      </c>
      <c r="Q104" s="1" t="s">
        <v>503</v>
      </c>
      <c r="R104" s="1" t="s">
        <v>542</v>
      </c>
      <c r="S104" s="1" t="s">
        <v>543</v>
      </c>
      <c r="T104" s="1" t="s">
        <v>2581</v>
      </c>
      <c r="U104" s="1" t="s">
        <v>2582</v>
      </c>
      <c r="V104" s="1">
        <v>83</v>
      </c>
      <c r="W104" s="1">
        <v>6</v>
      </c>
      <c r="X104" s="1" t="s">
        <v>2585</v>
      </c>
      <c r="Y104" s="1" t="str">
        <f>HYPERLINK("http://dx.doi.org/10.1007/s11042-023-16171-6","http://dx.doi.org/10.1007/s11042-023-16171-6")</f>
        <v>http://dx.doi.org/10.1007/s11042-023-16171-6</v>
      </c>
      <c r="Z104" s="1">
        <v>34</v>
      </c>
      <c r="AA104" s="1" t="s">
        <v>2586</v>
      </c>
      <c r="AB104" s="1" t="s">
        <v>67</v>
      </c>
      <c r="AC104" s="1" t="s">
        <v>389</v>
      </c>
      <c r="AD104" s="1" t="s">
        <v>48</v>
      </c>
      <c r="AE104" s="1" t="s">
        <v>48</v>
      </c>
    </row>
    <row r="105" spans="1:31" s="1" customFormat="1" ht="18.5" x14ac:dyDescent="0.45">
      <c r="A105" s="1" t="s">
        <v>2615</v>
      </c>
      <c r="B105" s="1" t="s">
        <v>2616</v>
      </c>
      <c r="C105" s="1" t="s">
        <v>2617</v>
      </c>
      <c r="D105" s="1" t="s">
        <v>2618</v>
      </c>
      <c r="E105" s="1" t="s">
        <v>53</v>
      </c>
      <c r="F105" s="1" t="s">
        <v>48</v>
      </c>
      <c r="G105" s="1" t="s">
        <v>2619</v>
      </c>
      <c r="H105" s="1" t="s">
        <v>2620</v>
      </c>
      <c r="I105" s="2">
        <v>2024</v>
      </c>
      <c r="J105" s="1" t="s">
        <v>2621</v>
      </c>
      <c r="K105" s="1" t="s">
        <v>58</v>
      </c>
      <c r="L105" s="1" t="s">
        <v>2622</v>
      </c>
      <c r="M105" s="1">
        <v>72</v>
      </c>
      <c r="N105" s="1">
        <v>0</v>
      </c>
      <c r="O105" s="1">
        <v>3</v>
      </c>
      <c r="P105" s="1">
        <v>3</v>
      </c>
      <c r="Q105" s="1" t="s">
        <v>503</v>
      </c>
      <c r="R105" s="1" t="s">
        <v>542</v>
      </c>
      <c r="S105" s="1" t="s">
        <v>543</v>
      </c>
      <c r="T105" s="1" t="s">
        <v>2623</v>
      </c>
      <c r="U105" s="1" t="s">
        <v>2624</v>
      </c>
      <c r="V105" s="1">
        <v>35</v>
      </c>
      <c r="W105" s="1">
        <v>32</v>
      </c>
      <c r="X105" s="1" t="s">
        <v>2627</v>
      </c>
      <c r="Y105" s="1" t="str">
        <f>HYPERLINK("http://dx.doi.org/10.1007/s10854-024-13855-z","http://dx.doi.org/10.1007/s10854-024-13855-z")</f>
        <v>http://dx.doi.org/10.1007/s10854-024-13855-z</v>
      </c>
      <c r="Z105" s="1">
        <v>16</v>
      </c>
      <c r="AA105" s="1" t="s">
        <v>2628</v>
      </c>
      <c r="AB105" s="1" t="s">
        <v>67</v>
      </c>
      <c r="AC105" s="1" t="s">
        <v>2629</v>
      </c>
      <c r="AD105" s="1" t="s">
        <v>48</v>
      </c>
      <c r="AE105" s="1" t="s">
        <v>48</v>
      </c>
    </row>
    <row r="106" spans="1:31" s="1" customFormat="1" ht="18.5" x14ac:dyDescent="0.45">
      <c r="A106" s="1" t="s">
        <v>2630</v>
      </c>
      <c r="B106" s="1" t="s">
        <v>2631</v>
      </c>
      <c r="C106" s="1" t="s">
        <v>2632</v>
      </c>
      <c r="D106" s="1" t="s">
        <v>2618</v>
      </c>
      <c r="E106" s="1" t="s">
        <v>53</v>
      </c>
      <c r="F106" s="1" t="s">
        <v>48</v>
      </c>
      <c r="G106" s="1" t="s">
        <v>2633</v>
      </c>
      <c r="H106" s="1" t="s">
        <v>2634</v>
      </c>
      <c r="I106" s="2">
        <v>2024</v>
      </c>
      <c r="J106" s="1" t="s">
        <v>2635</v>
      </c>
      <c r="K106" s="1" t="s">
        <v>58</v>
      </c>
      <c r="L106" s="1" t="s">
        <v>2636</v>
      </c>
      <c r="M106" s="1">
        <v>39</v>
      </c>
      <c r="N106" s="1">
        <v>2</v>
      </c>
      <c r="O106" s="1">
        <v>2</v>
      </c>
      <c r="P106" s="1">
        <v>7</v>
      </c>
      <c r="Q106" s="1" t="s">
        <v>503</v>
      </c>
      <c r="R106" s="1" t="s">
        <v>542</v>
      </c>
      <c r="S106" s="1" t="s">
        <v>543</v>
      </c>
      <c r="T106" s="1" t="s">
        <v>2623</v>
      </c>
      <c r="U106" s="1" t="s">
        <v>2624</v>
      </c>
      <c r="V106" s="1">
        <v>35</v>
      </c>
      <c r="W106" s="1">
        <v>11</v>
      </c>
      <c r="X106" s="1" t="s">
        <v>2637</v>
      </c>
      <c r="Y106" s="1" t="str">
        <f>HYPERLINK("http://dx.doi.org/10.1007/s10854-024-12565-w","http://dx.doi.org/10.1007/s10854-024-12565-w")</f>
        <v>http://dx.doi.org/10.1007/s10854-024-12565-w</v>
      </c>
      <c r="Z106" s="1">
        <v>15</v>
      </c>
      <c r="AA106" s="1" t="s">
        <v>2628</v>
      </c>
      <c r="AB106" s="1" t="s">
        <v>67</v>
      </c>
      <c r="AC106" s="1" t="s">
        <v>2629</v>
      </c>
      <c r="AD106" s="1" t="s">
        <v>48</v>
      </c>
      <c r="AE106" s="1" t="s">
        <v>48</v>
      </c>
    </row>
    <row r="107" spans="1:31" s="1" customFormat="1" ht="18.5" x14ac:dyDescent="0.45">
      <c r="A107" s="1" t="s">
        <v>2638</v>
      </c>
      <c r="B107" s="1" t="s">
        <v>2639</v>
      </c>
      <c r="C107" s="1" t="s">
        <v>2640</v>
      </c>
      <c r="D107" s="1" t="s">
        <v>2641</v>
      </c>
      <c r="E107" s="1" t="s">
        <v>1114</v>
      </c>
      <c r="F107" s="1" t="s">
        <v>2642</v>
      </c>
      <c r="G107" s="1" t="s">
        <v>2643</v>
      </c>
      <c r="H107" s="1" t="s">
        <v>2644</v>
      </c>
      <c r="I107" s="2">
        <v>2024</v>
      </c>
      <c r="J107" s="1" t="s">
        <v>2645</v>
      </c>
      <c r="K107" s="1" t="s">
        <v>58</v>
      </c>
      <c r="L107" s="1" t="s">
        <v>2646</v>
      </c>
      <c r="M107" s="1">
        <v>111</v>
      </c>
      <c r="N107" s="1">
        <v>1</v>
      </c>
      <c r="O107" s="1">
        <v>5</v>
      </c>
      <c r="P107" s="1">
        <v>16</v>
      </c>
      <c r="Q107" s="1" t="s">
        <v>2647</v>
      </c>
      <c r="R107" s="1" t="s">
        <v>2044</v>
      </c>
      <c r="S107" s="1" t="s">
        <v>2648</v>
      </c>
      <c r="T107" s="1" t="s">
        <v>48</v>
      </c>
      <c r="U107" s="1" t="s">
        <v>2649</v>
      </c>
      <c r="V107" s="1">
        <v>39</v>
      </c>
      <c r="W107" s="1">
        <v>2</v>
      </c>
      <c r="X107" s="1" t="s">
        <v>2650</v>
      </c>
      <c r="Y107" s="1" t="str">
        <f>HYPERLINK("http://dx.doi.org/10.26650/ASE20231341460","http://dx.doi.org/10.26650/ASE20231341460")</f>
        <v>http://dx.doi.org/10.26650/ASE20231341460</v>
      </c>
      <c r="Z107" s="1">
        <v>9</v>
      </c>
      <c r="AA107" s="1" t="s">
        <v>2651</v>
      </c>
      <c r="AB107" s="1" t="s">
        <v>124</v>
      </c>
      <c r="AC107" s="1" t="s">
        <v>2651</v>
      </c>
      <c r="AD107" s="1" t="s">
        <v>48</v>
      </c>
      <c r="AE107" s="1" t="s">
        <v>48</v>
      </c>
    </row>
    <row r="108" spans="1:31" s="1" customFormat="1" ht="18.5" x14ac:dyDescent="0.45">
      <c r="A108" s="1" t="s">
        <v>2652</v>
      </c>
      <c r="B108" s="1" t="s">
        <v>2653</v>
      </c>
      <c r="C108" s="1" t="s">
        <v>2654</v>
      </c>
      <c r="D108" s="1" t="s">
        <v>2655</v>
      </c>
      <c r="E108" s="1" t="s">
        <v>111</v>
      </c>
      <c r="F108" s="1" t="s">
        <v>2656</v>
      </c>
      <c r="G108" s="1" t="s">
        <v>2657</v>
      </c>
      <c r="H108" s="1" t="s">
        <v>2658</v>
      </c>
      <c r="I108" s="2">
        <v>2024</v>
      </c>
      <c r="J108" s="1" t="s">
        <v>2659</v>
      </c>
      <c r="K108" s="1" t="s">
        <v>115</v>
      </c>
      <c r="L108" s="1" t="s">
        <v>2660</v>
      </c>
      <c r="M108" s="1">
        <v>75</v>
      </c>
      <c r="N108" s="1">
        <v>0</v>
      </c>
      <c r="O108" s="1">
        <v>1</v>
      </c>
      <c r="P108" s="1">
        <v>1</v>
      </c>
      <c r="Q108" s="1" t="s">
        <v>347</v>
      </c>
      <c r="R108" s="1" t="s">
        <v>348</v>
      </c>
      <c r="S108" s="1" t="s">
        <v>349</v>
      </c>
      <c r="T108" s="1" t="s">
        <v>2661</v>
      </c>
      <c r="U108" s="1" t="s">
        <v>2662</v>
      </c>
      <c r="V108" s="1" t="s">
        <v>48</v>
      </c>
      <c r="W108" s="1" t="s">
        <v>48</v>
      </c>
      <c r="X108" s="1" t="s">
        <v>2663</v>
      </c>
      <c r="Y108" s="1" t="str">
        <f>HYPERLINK("http://dx.doi.org/10.1002/jsde.12817","http://dx.doi.org/10.1002/jsde.12817")</f>
        <v>http://dx.doi.org/10.1002/jsde.12817</v>
      </c>
      <c r="Z108" s="1">
        <v>15</v>
      </c>
      <c r="AA108" s="1" t="s">
        <v>2664</v>
      </c>
      <c r="AB108" s="1" t="s">
        <v>67</v>
      </c>
      <c r="AC108" s="1" t="s">
        <v>2665</v>
      </c>
      <c r="AD108" s="1" t="s">
        <v>48</v>
      </c>
      <c r="AE108" s="1" t="s">
        <v>550</v>
      </c>
    </row>
    <row r="109" spans="1:31" s="1" customFormat="1" ht="18.5" x14ac:dyDescent="0.45">
      <c r="A109" s="1" t="s">
        <v>2666</v>
      </c>
      <c r="B109" s="1" t="s">
        <v>2667</v>
      </c>
      <c r="C109" s="1" t="s">
        <v>2668</v>
      </c>
      <c r="D109" s="1" t="s">
        <v>2669</v>
      </c>
      <c r="E109" s="1" t="s">
        <v>53</v>
      </c>
      <c r="F109" s="1" t="s">
        <v>2670</v>
      </c>
      <c r="G109" s="1" t="s">
        <v>48</v>
      </c>
      <c r="H109" s="1" t="s">
        <v>2671</v>
      </c>
      <c r="I109" s="2">
        <v>2024</v>
      </c>
      <c r="J109" s="1" t="s">
        <v>2672</v>
      </c>
      <c r="K109" s="1" t="s">
        <v>58</v>
      </c>
      <c r="L109" s="1" t="s">
        <v>2673</v>
      </c>
      <c r="M109" s="1">
        <v>42</v>
      </c>
      <c r="N109" s="1">
        <v>1</v>
      </c>
      <c r="O109" s="1">
        <v>0</v>
      </c>
      <c r="P109" s="1">
        <v>0</v>
      </c>
      <c r="Q109" s="1" t="s">
        <v>748</v>
      </c>
      <c r="R109" s="1" t="s">
        <v>749</v>
      </c>
      <c r="S109" s="1" t="s">
        <v>750</v>
      </c>
      <c r="T109" s="1" t="s">
        <v>2674</v>
      </c>
      <c r="U109" s="1" t="s">
        <v>2675</v>
      </c>
      <c r="V109" s="1">
        <v>16</v>
      </c>
      <c r="W109" s="1">
        <v>1</v>
      </c>
      <c r="X109" s="1" t="s">
        <v>2676</v>
      </c>
      <c r="Y109" s="1" t="str">
        <f>HYPERLINK("http://dx.doi.org/10.1142/S2661335224500060","http://dx.doi.org/10.1142/S2661335224500060")</f>
        <v>http://dx.doi.org/10.1142/S2661335224500060</v>
      </c>
      <c r="Z109" s="1">
        <v>11</v>
      </c>
      <c r="AA109" s="1" t="s">
        <v>260</v>
      </c>
      <c r="AB109" s="1" t="s">
        <v>124</v>
      </c>
      <c r="AC109" s="1" t="s">
        <v>137</v>
      </c>
      <c r="AD109" s="1" t="s">
        <v>48</v>
      </c>
      <c r="AE109" s="1" t="s">
        <v>48</v>
      </c>
    </row>
    <row r="110" spans="1:31" s="1" customFormat="1" ht="18.5" x14ac:dyDescent="0.45">
      <c r="A110" s="1" t="s">
        <v>2677</v>
      </c>
      <c r="B110" s="1" t="s">
        <v>2678</v>
      </c>
      <c r="C110" s="1" t="s">
        <v>2679</v>
      </c>
      <c r="D110" s="1" t="s">
        <v>1119</v>
      </c>
      <c r="E110" s="1" t="s">
        <v>53</v>
      </c>
      <c r="F110" s="1" t="s">
        <v>2680</v>
      </c>
      <c r="G110" s="1" t="s">
        <v>2681</v>
      </c>
      <c r="H110" s="1" t="s">
        <v>2682</v>
      </c>
      <c r="I110" s="2">
        <v>2024</v>
      </c>
      <c r="J110" s="1" t="s">
        <v>2683</v>
      </c>
      <c r="K110" s="1" t="s">
        <v>115</v>
      </c>
      <c r="L110" s="1" t="s">
        <v>2684</v>
      </c>
      <c r="M110" s="1">
        <v>143</v>
      </c>
      <c r="N110" s="1">
        <v>0</v>
      </c>
      <c r="O110" s="1">
        <v>0</v>
      </c>
      <c r="P110" s="1">
        <v>0</v>
      </c>
      <c r="Q110" s="1" t="s">
        <v>2685</v>
      </c>
      <c r="R110" s="1" t="s">
        <v>2686</v>
      </c>
      <c r="S110" s="1" t="s">
        <v>2687</v>
      </c>
      <c r="T110" s="1" t="s">
        <v>1124</v>
      </c>
      <c r="U110" s="1" t="s">
        <v>48</v>
      </c>
      <c r="V110" s="1">
        <v>1</v>
      </c>
      <c r="W110" s="1">
        <v>22</v>
      </c>
      <c r="X110" s="1" t="s">
        <v>48</v>
      </c>
      <c r="Y110" s="1" t="s">
        <v>48</v>
      </c>
      <c r="Z110" s="1">
        <v>302</v>
      </c>
      <c r="AA110" s="1" t="s">
        <v>1128</v>
      </c>
      <c r="AB110" s="1" t="s">
        <v>124</v>
      </c>
      <c r="AC110" s="1" t="s">
        <v>1129</v>
      </c>
      <c r="AD110" s="1" t="s">
        <v>48</v>
      </c>
      <c r="AE110" s="1" t="s">
        <v>48</v>
      </c>
    </row>
    <row r="111" spans="1:31" s="1" customFormat="1" ht="18.5" x14ac:dyDescent="0.45">
      <c r="A111" s="1" t="s">
        <v>2449</v>
      </c>
      <c r="B111" s="1" t="s">
        <v>2450</v>
      </c>
      <c r="C111" s="1" t="s">
        <v>2694</v>
      </c>
      <c r="D111" s="1" t="s">
        <v>868</v>
      </c>
      <c r="E111" s="1" t="s">
        <v>53</v>
      </c>
      <c r="F111" s="1" t="s">
        <v>2695</v>
      </c>
      <c r="G111" s="1" t="s">
        <v>2696</v>
      </c>
      <c r="H111" s="1" t="s">
        <v>2697</v>
      </c>
      <c r="I111" s="2">
        <v>2024</v>
      </c>
      <c r="J111" s="1" t="s">
        <v>2698</v>
      </c>
      <c r="K111" s="1" t="s">
        <v>58</v>
      </c>
      <c r="L111" s="1" t="s">
        <v>2699</v>
      </c>
      <c r="M111" s="1">
        <v>71</v>
      </c>
      <c r="N111" s="1">
        <v>4</v>
      </c>
      <c r="O111" s="1">
        <v>2</v>
      </c>
      <c r="P111" s="1">
        <v>21</v>
      </c>
      <c r="Q111" s="1" t="s">
        <v>98</v>
      </c>
      <c r="R111" s="1" t="s">
        <v>99</v>
      </c>
      <c r="S111" s="1" t="s">
        <v>100</v>
      </c>
      <c r="T111" s="1" t="s">
        <v>871</v>
      </c>
      <c r="U111" s="1" t="s">
        <v>872</v>
      </c>
      <c r="V111" s="1">
        <v>59</v>
      </c>
      <c r="W111" s="1">
        <v>1</v>
      </c>
      <c r="X111" s="1" t="s">
        <v>2700</v>
      </c>
      <c r="Y111" s="1" t="str">
        <f>HYPERLINK("http://dx.doi.org/10.1177/00219096221099634","http://dx.doi.org/10.1177/00219096221099634")</f>
        <v>http://dx.doi.org/10.1177/00219096221099634</v>
      </c>
      <c r="Z111" s="1">
        <v>19</v>
      </c>
      <c r="AA111" s="1" t="s">
        <v>874</v>
      </c>
      <c r="AB111" s="1" t="s">
        <v>106</v>
      </c>
      <c r="AC111" s="1" t="s">
        <v>874</v>
      </c>
      <c r="AD111" s="1" t="s">
        <v>48</v>
      </c>
      <c r="AE111" s="1" t="s">
        <v>48</v>
      </c>
    </row>
    <row r="112" spans="1:31" s="1" customFormat="1" ht="18.5" x14ac:dyDescent="0.45">
      <c r="A112" s="1" t="s">
        <v>2630</v>
      </c>
      <c r="B112" s="1" t="s">
        <v>2631</v>
      </c>
      <c r="C112" s="1" t="s">
        <v>2701</v>
      </c>
      <c r="D112" s="1" t="s">
        <v>2702</v>
      </c>
      <c r="E112" s="1" t="s">
        <v>53</v>
      </c>
      <c r="F112" s="1" t="s">
        <v>48</v>
      </c>
      <c r="G112" s="1" t="s">
        <v>2703</v>
      </c>
      <c r="H112" s="1" t="s">
        <v>2704</v>
      </c>
      <c r="I112" s="2">
        <v>2024</v>
      </c>
      <c r="J112" s="1" t="s">
        <v>2705</v>
      </c>
      <c r="K112" s="1" t="s">
        <v>58</v>
      </c>
      <c r="L112" s="1" t="s">
        <v>2706</v>
      </c>
      <c r="M112" s="1">
        <v>36</v>
      </c>
      <c r="N112" s="1">
        <v>0</v>
      </c>
      <c r="O112" s="1">
        <v>0</v>
      </c>
      <c r="P112" s="1">
        <v>0</v>
      </c>
      <c r="Q112" s="1" t="s">
        <v>1183</v>
      </c>
      <c r="R112" s="1" t="s">
        <v>1184</v>
      </c>
      <c r="S112" s="1" t="s">
        <v>1185</v>
      </c>
      <c r="T112" s="1" t="s">
        <v>2707</v>
      </c>
      <c r="U112" s="1" t="s">
        <v>48</v>
      </c>
      <c r="V112" s="1">
        <v>10</v>
      </c>
      <c r="W112" s="1">
        <v>1</v>
      </c>
      <c r="X112" s="1" t="s">
        <v>2709</v>
      </c>
      <c r="Y112" s="1" t="str">
        <f>HYPERLINK("http://dx.doi.org/10.1021/acsomega.4c06008","http://dx.doi.org/10.1021/acsomega.4c06008")</f>
        <v>http://dx.doi.org/10.1021/acsomega.4c06008</v>
      </c>
      <c r="Z112" s="1">
        <v>12</v>
      </c>
      <c r="AA112" s="1" t="s">
        <v>2292</v>
      </c>
      <c r="AB112" s="1" t="s">
        <v>67</v>
      </c>
      <c r="AC112" s="1" t="s">
        <v>2293</v>
      </c>
      <c r="AD112" s="1">
        <v>39829486</v>
      </c>
      <c r="AE112" s="1" t="s">
        <v>125</v>
      </c>
    </row>
    <row r="113" spans="1:31" s="1" customFormat="1" ht="18.5" x14ac:dyDescent="0.45">
      <c r="A113" s="1" t="s">
        <v>2710</v>
      </c>
      <c r="B113" s="1" t="s">
        <v>2711</v>
      </c>
      <c r="C113" s="1" t="s">
        <v>2712</v>
      </c>
      <c r="D113" s="1" t="s">
        <v>2713</v>
      </c>
      <c r="E113" s="1" t="s">
        <v>53</v>
      </c>
      <c r="F113" s="1" t="s">
        <v>2714</v>
      </c>
      <c r="G113" s="1" t="s">
        <v>2715</v>
      </c>
      <c r="H113" s="1" t="s">
        <v>2716</v>
      </c>
      <c r="I113" s="2">
        <v>2024</v>
      </c>
      <c r="J113" s="1" t="s">
        <v>2717</v>
      </c>
      <c r="K113" s="1" t="s">
        <v>58</v>
      </c>
      <c r="L113" s="1" t="s">
        <v>2718</v>
      </c>
      <c r="M113" s="1">
        <v>129</v>
      </c>
      <c r="N113" s="1">
        <v>2</v>
      </c>
      <c r="O113" s="1">
        <v>2</v>
      </c>
      <c r="P113" s="1">
        <v>5</v>
      </c>
      <c r="Q113" s="1" t="s">
        <v>2719</v>
      </c>
      <c r="R113" s="1" t="s">
        <v>2720</v>
      </c>
      <c r="S113" s="1" t="s">
        <v>2721</v>
      </c>
      <c r="T113" s="1" t="s">
        <v>2722</v>
      </c>
      <c r="U113" s="1" t="s">
        <v>2723</v>
      </c>
      <c r="V113" s="1">
        <v>26</v>
      </c>
      <c r="W113" s="1">
        <v>1</v>
      </c>
      <c r="X113" s="1" t="s">
        <v>2724</v>
      </c>
      <c r="Y113" s="1" t="str">
        <f>HYPERLINK("http://dx.doi.org/10.1057/s41300-024-00198-4","http://dx.doi.org/10.1057/s41300-024-00198-4")</f>
        <v>http://dx.doi.org/10.1057/s41300-024-00198-4</v>
      </c>
      <c r="Z113" s="1">
        <v>44</v>
      </c>
      <c r="AA113" s="1" t="s">
        <v>1271</v>
      </c>
      <c r="AB113" s="1" t="s">
        <v>124</v>
      </c>
      <c r="AC113" s="1" t="s">
        <v>1271</v>
      </c>
      <c r="AD113" s="1" t="s">
        <v>48</v>
      </c>
      <c r="AE113" s="1" t="s">
        <v>48</v>
      </c>
    </row>
    <row r="114" spans="1:31" s="1" customFormat="1" ht="18.5" x14ac:dyDescent="0.45">
      <c r="A114" s="1" t="s">
        <v>2725</v>
      </c>
      <c r="B114" s="1" t="s">
        <v>2726</v>
      </c>
      <c r="C114" s="1" t="s">
        <v>2727</v>
      </c>
      <c r="D114" s="1" t="s">
        <v>1018</v>
      </c>
      <c r="E114" s="1" t="s">
        <v>111</v>
      </c>
      <c r="F114" s="1" t="s">
        <v>2728</v>
      </c>
      <c r="G114" s="1" t="s">
        <v>2729</v>
      </c>
      <c r="H114" s="1" t="s">
        <v>2730</v>
      </c>
      <c r="I114" s="2">
        <v>2024</v>
      </c>
      <c r="J114" s="1" t="s">
        <v>2731</v>
      </c>
      <c r="K114" s="1" t="s">
        <v>58</v>
      </c>
      <c r="L114" s="1" t="s">
        <v>2732</v>
      </c>
      <c r="M114" s="1">
        <v>91</v>
      </c>
      <c r="N114" s="1">
        <v>1</v>
      </c>
      <c r="O114" s="1">
        <v>0</v>
      </c>
      <c r="P114" s="1">
        <v>0</v>
      </c>
      <c r="Q114" s="1" t="s">
        <v>252</v>
      </c>
      <c r="R114" s="1" t="s">
        <v>253</v>
      </c>
      <c r="S114" s="1" t="s">
        <v>254</v>
      </c>
      <c r="T114" s="1" t="s">
        <v>1024</v>
      </c>
      <c r="U114" s="1" t="s">
        <v>1025</v>
      </c>
      <c r="V114" s="1" t="s">
        <v>48</v>
      </c>
      <c r="W114" s="1" t="s">
        <v>48</v>
      </c>
      <c r="X114" s="1" t="s">
        <v>2733</v>
      </c>
      <c r="Y114" s="1" t="str">
        <f>HYPERLINK("http://dx.doi.org/10.1007/s11356-024-32213-4","http://dx.doi.org/10.1007/s11356-024-32213-4")</f>
        <v>http://dx.doi.org/10.1007/s11356-024-32213-4</v>
      </c>
      <c r="Z114" s="1">
        <v>21</v>
      </c>
      <c r="AA114" s="1" t="s">
        <v>438</v>
      </c>
      <c r="AB114" s="1" t="s">
        <v>67</v>
      </c>
      <c r="AC114" s="1" t="s">
        <v>439</v>
      </c>
      <c r="AD114" s="1">
        <v>38349492</v>
      </c>
      <c r="AE114" s="1" t="s">
        <v>2074</v>
      </c>
    </row>
    <row r="115" spans="1:31" s="1" customFormat="1" ht="18.5" x14ac:dyDescent="0.45">
      <c r="A115" s="1" t="s">
        <v>2734</v>
      </c>
      <c r="B115" s="1" t="s">
        <v>2735</v>
      </c>
      <c r="C115" s="1" t="s">
        <v>2736</v>
      </c>
      <c r="D115" s="1" t="s">
        <v>2737</v>
      </c>
      <c r="E115" s="1" t="s">
        <v>53</v>
      </c>
      <c r="F115" s="1" t="s">
        <v>2738</v>
      </c>
      <c r="G115" s="1" t="s">
        <v>48</v>
      </c>
      <c r="H115" s="1" t="s">
        <v>2739</v>
      </c>
      <c r="I115" s="2">
        <v>2024</v>
      </c>
      <c r="J115" s="1" t="s">
        <v>2740</v>
      </c>
      <c r="K115" s="1" t="s">
        <v>58</v>
      </c>
      <c r="L115" s="1" t="s">
        <v>131</v>
      </c>
      <c r="M115" s="1">
        <v>30</v>
      </c>
      <c r="N115" s="1">
        <v>8</v>
      </c>
      <c r="O115" s="1">
        <v>2</v>
      </c>
      <c r="P115" s="1">
        <v>3</v>
      </c>
      <c r="Q115" s="1" t="s">
        <v>2741</v>
      </c>
      <c r="R115" s="1" t="s">
        <v>80</v>
      </c>
      <c r="S115" s="1" t="s">
        <v>2742</v>
      </c>
      <c r="T115" s="1" t="s">
        <v>2743</v>
      </c>
      <c r="U115" s="1" t="s">
        <v>2744</v>
      </c>
      <c r="V115" s="1">
        <v>46</v>
      </c>
      <c r="W115" s="1">
        <v>1</v>
      </c>
      <c r="X115" s="1" t="s">
        <v>2747</v>
      </c>
      <c r="Y115" s="1" t="str">
        <f>HYPERLINK("http://dx.doi.org/10.3233/JIFS-232523","http://dx.doi.org/10.3233/JIFS-232523")</f>
        <v>http://dx.doi.org/10.3233/JIFS-232523</v>
      </c>
      <c r="Z115" s="1">
        <v>18</v>
      </c>
      <c r="AA115" s="1" t="s">
        <v>549</v>
      </c>
      <c r="AB115" s="1" t="s">
        <v>67</v>
      </c>
      <c r="AC115" s="1" t="s">
        <v>292</v>
      </c>
      <c r="AD115" s="1" t="s">
        <v>48</v>
      </c>
      <c r="AE115" s="1" t="s">
        <v>48</v>
      </c>
    </row>
    <row r="116" spans="1:31" s="1" customFormat="1" ht="18.5" x14ac:dyDescent="0.45">
      <c r="A116" s="1" t="s">
        <v>2765</v>
      </c>
      <c r="B116" s="1" t="s">
        <v>2766</v>
      </c>
      <c r="C116" s="1" t="s">
        <v>2767</v>
      </c>
      <c r="D116" s="1" t="s">
        <v>868</v>
      </c>
      <c r="E116" s="1" t="s">
        <v>53</v>
      </c>
      <c r="F116" s="1" t="s">
        <v>2768</v>
      </c>
      <c r="G116" s="1" t="s">
        <v>2769</v>
      </c>
      <c r="H116" s="1" t="s">
        <v>2770</v>
      </c>
      <c r="I116" s="2">
        <v>2024</v>
      </c>
      <c r="J116" s="1" t="s">
        <v>2771</v>
      </c>
      <c r="K116" s="1" t="s">
        <v>115</v>
      </c>
      <c r="L116" s="1" t="s">
        <v>2772</v>
      </c>
      <c r="M116" s="1">
        <v>34</v>
      </c>
      <c r="N116" s="1">
        <v>0</v>
      </c>
      <c r="O116" s="1">
        <v>2</v>
      </c>
      <c r="P116" s="1">
        <v>4</v>
      </c>
      <c r="Q116" s="1" t="s">
        <v>98</v>
      </c>
      <c r="R116" s="1" t="s">
        <v>99</v>
      </c>
      <c r="S116" s="1" t="s">
        <v>100</v>
      </c>
      <c r="T116" s="1" t="s">
        <v>871</v>
      </c>
      <c r="U116" s="1" t="s">
        <v>872</v>
      </c>
      <c r="V116" s="1">
        <v>59</v>
      </c>
      <c r="W116" s="1">
        <v>6</v>
      </c>
      <c r="X116" s="1" t="s">
        <v>2773</v>
      </c>
      <c r="Y116" s="1" t="str">
        <f>HYPERLINK("http://dx.doi.org/10.1177/00219096221149687","http://dx.doi.org/10.1177/00219096221149687")</f>
        <v>http://dx.doi.org/10.1177/00219096221149687</v>
      </c>
      <c r="Z116" s="1">
        <v>12</v>
      </c>
      <c r="AA116" s="1" t="s">
        <v>874</v>
      </c>
      <c r="AB116" s="1" t="s">
        <v>106</v>
      </c>
      <c r="AC116" s="1" t="s">
        <v>874</v>
      </c>
      <c r="AD116" s="1" t="s">
        <v>48</v>
      </c>
      <c r="AE116" s="1" t="s">
        <v>48</v>
      </c>
    </row>
    <row r="117" spans="1:31" s="1" customFormat="1" ht="18.5" x14ac:dyDescent="0.45">
      <c r="A117" s="1" t="s">
        <v>2775</v>
      </c>
      <c r="B117" s="1" t="s">
        <v>2776</v>
      </c>
      <c r="C117" s="1" t="s">
        <v>2777</v>
      </c>
      <c r="D117" s="1" t="s">
        <v>2778</v>
      </c>
      <c r="E117" s="1" t="s">
        <v>53</v>
      </c>
      <c r="F117" s="1" t="s">
        <v>2779</v>
      </c>
      <c r="G117" s="1" t="s">
        <v>48</v>
      </c>
      <c r="H117" s="1" t="s">
        <v>2780</v>
      </c>
      <c r="I117" s="2">
        <v>2024</v>
      </c>
      <c r="J117" s="1" t="s">
        <v>2781</v>
      </c>
      <c r="K117" s="1" t="s">
        <v>58</v>
      </c>
      <c r="L117" s="1" t="s">
        <v>2782</v>
      </c>
      <c r="M117" s="1">
        <v>12</v>
      </c>
      <c r="N117" s="1">
        <v>0</v>
      </c>
      <c r="O117" s="1">
        <v>1</v>
      </c>
      <c r="P117" s="1">
        <v>1</v>
      </c>
      <c r="Q117" s="1" t="s">
        <v>1183</v>
      </c>
      <c r="R117" s="1" t="s">
        <v>1184</v>
      </c>
      <c r="S117" s="1" t="s">
        <v>1185</v>
      </c>
      <c r="T117" s="1" t="s">
        <v>2783</v>
      </c>
      <c r="U117" s="1" t="s">
        <v>2784</v>
      </c>
      <c r="V117" s="1">
        <v>101</v>
      </c>
      <c r="W117" s="1">
        <v>10</v>
      </c>
      <c r="X117" s="1" t="s">
        <v>2785</v>
      </c>
      <c r="Y117" s="1" t="str">
        <f>HYPERLINK("http://dx.doi.org/10.1021/acs.jchemed.4c00223","http://dx.doi.org/10.1021/acs.jchemed.4c00223")</f>
        <v>http://dx.doi.org/10.1021/acs.jchemed.4c00223</v>
      </c>
      <c r="Z117" s="1">
        <v>4</v>
      </c>
      <c r="AA117" s="1" t="s">
        <v>2786</v>
      </c>
      <c r="AB117" s="1" t="s">
        <v>67</v>
      </c>
      <c r="AC117" s="1" t="s">
        <v>2787</v>
      </c>
      <c r="AD117" s="1" t="s">
        <v>48</v>
      </c>
      <c r="AE117" s="1" t="s">
        <v>48</v>
      </c>
    </row>
    <row r="118" spans="1:31" s="1" customFormat="1" ht="18.5" x14ac:dyDescent="0.45">
      <c r="A118" s="1" t="s">
        <v>2788</v>
      </c>
      <c r="B118" s="1" t="s">
        <v>2789</v>
      </c>
      <c r="C118" s="1" t="s">
        <v>2790</v>
      </c>
      <c r="D118" s="1" t="s">
        <v>2791</v>
      </c>
      <c r="E118" s="1" t="s">
        <v>53</v>
      </c>
      <c r="F118" s="1" t="s">
        <v>2792</v>
      </c>
      <c r="G118" s="1" t="s">
        <v>2793</v>
      </c>
      <c r="H118" s="1" t="s">
        <v>2794</v>
      </c>
      <c r="I118" s="2">
        <v>2024</v>
      </c>
      <c r="J118" s="1" t="s">
        <v>2795</v>
      </c>
      <c r="K118" s="1" t="s">
        <v>58</v>
      </c>
      <c r="L118" s="1" t="s">
        <v>2250</v>
      </c>
      <c r="M118" s="1">
        <v>90</v>
      </c>
      <c r="N118" s="1">
        <v>1</v>
      </c>
      <c r="O118" s="1">
        <v>1</v>
      </c>
      <c r="P118" s="1">
        <v>1</v>
      </c>
      <c r="Q118" s="1" t="s">
        <v>79</v>
      </c>
      <c r="R118" s="1" t="s">
        <v>80</v>
      </c>
      <c r="S118" s="1" t="s">
        <v>81</v>
      </c>
      <c r="T118" s="1" t="s">
        <v>2796</v>
      </c>
      <c r="U118" s="1" t="s">
        <v>2797</v>
      </c>
      <c r="V118" s="1">
        <v>411</v>
      </c>
      <c r="W118" s="1" t="s">
        <v>48</v>
      </c>
      <c r="X118" s="1" t="s">
        <v>2800</v>
      </c>
      <c r="Y118" s="1" t="str">
        <f>HYPERLINK("http://dx.doi.org/10.1016/j.molliq.2024.125678","http://dx.doi.org/10.1016/j.molliq.2024.125678")</f>
        <v>http://dx.doi.org/10.1016/j.molliq.2024.125678</v>
      </c>
      <c r="Z118" s="1">
        <v>12</v>
      </c>
      <c r="AA118" s="1" t="s">
        <v>2595</v>
      </c>
      <c r="AB118" s="1" t="s">
        <v>67</v>
      </c>
      <c r="AC118" s="1" t="s">
        <v>2596</v>
      </c>
      <c r="AD118" s="1" t="s">
        <v>48</v>
      </c>
      <c r="AE118" s="1" t="s">
        <v>48</v>
      </c>
    </row>
    <row r="119" spans="1:31" s="1" customFormat="1" ht="18.5" x14ac:dyDescent="0.45">
      <c r="A119" s="1" t="s">
        <v>2801</v>
      </c>
      <c r="B119" s="1" t="s">
        <v>2802</v>
      </c>
      <c r="C119" s="1" t="s">
        <v>2803</v>
      </c>
      <c r="D119" s="1" t="s">
        <v>369</v>
      </c>
      <c r="E119" s="1" t="s">
        <v>53</v>
      </c>
      <c r="F119" s="1" t="s">
        <v>2804</v>
      </c>
      <c r="G119" s="1" t="s">
        <v>2805</v>
      </c>
      <c r="H119" s="1" t="s">
        <v>2806</v>
      </c>
      <c r="I119" s="2">
        <v>2024</v>
      </c>
      <c r="J119" s="1" t="s">
        <v>2807</v>
      </c>
      <c r="K119" s="1" t="s">
        <v>58</v>
      </c>
      <c r="L119" s="1" t="s">
        <v>131</v>
      </c>
      <c r="M119" s="1">
        <v>56</v>
      </c>
      <c r="N119" s="1">
        <v>1</v>
      </c>
      <c r="O119" s="1">
        <v>0</v>
      </c>
      <c r="P119" s="1">
        <v>0</v>
      </c>
      <c r="Q119" s="1" t="s">
        <v>371</v>
      </c>
      <c r="R119" s="1" t="s">
        <v>372</v>
      </c>
      <c r="S119" s="1" t="s">
        <v>373</v>
      </c>
      <c r="T119" s="1" t="s">
        <v>374</v>
      </c>
      <c r="U119" s="1" t="s">
        <v>48</v>
      </c>
      <c r="V119" s="1">
        <v>14</v>
      </c>
      <c r="W119" s="1">
        <v>1</v>
      </c>
      <c r="X119" s="1" t="s">
        <v>48</v>
      </c>
      <c r="Y119" s="1" t="s">
        <v>48</v>
      </c>
      <c r="Z119" s="1">
        <v>18</v>
      </c>
      <c r="AA119" s="1" t="s">
        <v>260</v>
      </c>
      <c r="AB119" s="1" t="s">
        <v>124</v>
      </c>
      <c r="AC119" s="1" t="s">
        <v>137</v>
      </c>
      <c r="AD119" s="1" t="s">
        <v>48</v>
      </c>
      <c r="AE119" s="1" t="s">
        <v>48</v>
      </c>
    </row>
    <row r="120" spans="1:31" s="1" customFormat="1" ht="18.5" x14ac:dyDescent="0.45">
      <c r="A120" s="1" t="s">
        <v>2615</v>
      </c>
      <c r="B120" s="1" t="s">
        <v>2808</v>
      </c>
      <c r="C120" s="1" t="s">
        <v>2809</v>
      </c>
      <c r="D120" s="1" t="s">
        <v>2810</v>
      </c>
      <c r="E120" s="1" t="s">
        <v>53</v>
      </c>
      <c r="F120" s="1" t="s">
        <v>2811</v>
      </c>
      <c r="G120" s="1" t="s">
        <v>2812</v>
      </c>
      <c r="H120" s="1" t="s">
        <v>2813</v>
      </c>
      <c r="I120" s="2">
        <v>2024</v>
      </c>
      <c r="J120" s="1" t="s">
        <v>2814</v>
      </c>
      <c r="K120" s="1" t="s">
        <v>58</v>
      </c>
      <c r="L120" s="1" t="s">
        <v>2815</v>
      </c>
      <c r="M120" s="1">
        <v>54</v>
      </c>
      <c r="N120" s="1">
        <v>0</v>
      </c>
      <c r="O120" s="1">
        <v>2</v>
      </c>
      <c r="P120" s="1">
        <v>2</v>
      </c>
      <c r="Q120" s="1" t="s">
        <v>2816</v>
      </c>
      <c r="R120" s="1" t="s">
        <v>2817</v>
      </c>
      <c r="S120" s="1" t="s">
        <v>2818</v>
      </c>
      <c r="T120" s="1" t="s">
        <v>2819</v>
      </c>
      <c r="U120" s="1" t="s">
        <v>48</v>
      </c>
      <c r="V120" s="1">
        <v>21</v>
      </c>
      <c r="W120" s="1">
        <v>10</v>
      </c>
      <c r="X120" s="1" t="s">
        <v>2820</v>
      </c>
      <c r="Y120" s="1" t="str">
        <f>HYPERLINK("http://dx.doi.org/10.15251/CL.2024.2110.771","http://dx.doi.org/10.15251/CL.2024.2110.771")</f>
        <v>http://dx.doi.org/10.15251/CL.2024.2110.771</v>
      </c>
      <c r="Z120" s="1">
        <v>13</v>
      </c>
      <c r="AA120" s="1" t="s">
        <v>2821</v>
      </c>
      <c r="AB120" s="1" t="s">
        <v>67</v>
      </c>
      <c r="AC120" s="1" t="s">
        <v>2822</v>
      </c>
      <c r="AD120" s="1" t="s">
        <v>48</v>
      </c>
      <c r="AE120" s="1" t="s">
        <v>48</v>
      </c>
    </row>
    <row r="121" spans="1:31" s="1" customFormat="1" ht="18.5" x14ac:dyDescent="0.45">
      <c r="A121" s="1" t="s">
        <v>2823</v>
      </c>
      <c r="B121" s="1" t="s">
        <v>2824</v>
      </c>
      <c r="C121" s="1" t="s">
        <v>2825</v>
      </c>
      <c r="D121" s="1" t="s">
        <v>2826</v>
      </c>
      <c r="E121" s="1" t="s">
        <v>111</v>
      </c>
      <c r="F121" s="1" t="s">
        <v>2827</v>
      </c>
      <c r="G121" s="1" t="s">
        <v>2828</v>
      </c>
      <c r="H121" s="1" t="s">
        <v>2829</v>
      </c>
      <c r="I121" s="2">
        <v>2024</v>
      </c>
      <c r="J121" s="1" t="s">
        <v>2830</v>
      </c>
      <c r="K121" s="1" t="s">
        <v>58</v>
      </c>
      <c r="L121" s="1" t="s">
        <v>2831</v>
      </c>
      <c r="M121" s="1">
        <v>94</v>
      </c>
      <c r="N121" s="1">
        <v>1</v>
      </c>
      <c r="O121" s="1">
        <v>3</v>
      </c>
      <c r="P121" s="1">
        <v>5</v>
      </c>
      <c r="Q121" s="1" t="s">
        <v>252</v>
      </c>
      <c r="R121" s="1" t="s">
        <v>253</v>
      </c>
      <c r="S121" s="1" t="s">
        <v>254</v>
      </c>
      <c r="T121" s="1" t="s">
        <v>2832</v>
      </c>
      <c r="U121" s="1" t="s">
        <v>2833</v>
      </c>
      <c r="V121" s="1" t="s">
        <v>48</v>
      </c>
      <c r="W121" s="1" t="s">
        <v>48</v>
      </c>
      <c r="X121" s="1" t="s">
        <v>2834</v>
      </c>
      <c r="Y121" s="1" t="str">
        <f>HYPERLINK("http://dx.doi.org/10.1007/s13399-024-05399-3","http://dx.doi.org/10.1007/s13399-024-05399-3")</f>
        <v>http://dx.doi.org/10.1007/s13399-024-05399-3</v>
      </c>
      <c r="Z121" s="1">
        <v>13</v>
      </c>
      <c r="AA121" s="1" t="s">
        <v>231</v>
      </c>
      <c r="AB121" s="1" t="s">
        <v>67</v>
      </c>
      <c r="AC121" s="1" t="s">
        <v>232</v>
      </c>
      <c r="AD121" s="1" t="s">
        <v>48</v>
      </c>
      <c r="AE121" s="1" t="s">
        <v>48</v>
      </c>
    </row>
    <row r="122" spans="1:31" s="1" customFormat="1" ht="18.5" x14ac:dyDescent="0.45">
      <c r="A122" s="1" t="s">
        <v>2854</v>
      </c>
      <c r="B122" s="1" t="s">
        <v>2855</v>
      </c>
      <c r="C122" s="1" t="s">
        <v>2856</v>
      </c>
      <c r="D122" s="1" t="s">
        <v>2857</v>
      </c>
      <c r="E122" s="1" t="s">
        <v>53</v>
      </c>
      <c r="F122" s="1" t="s">
        <v>2858</v>
      </c>
      <c r="G122" s="1" t="s">
        <v>2859</v>
      </c>
      <c r="H122" s="1" t="s">
        <v>2860</v>
      </c>
      <c r="I122" s="2">
        <v>2024</v>
      </c>
      <c r="J122" s="1" t="s">
        <v>2861</v>
      </c>
      <c r="K122" s="1" t="s">
        <v>77</v>
      </c>
      <c r="L122" s="1" t="s">
        <v>2862</v>
      </c>
      <c r="M122" s="1">
        <v>108</v>
      </c>
      <c r="N122" s="1">
        <v>0</v>
      </c>
      <c r="O122" s="1">
        <v>0</v>
      </c>
      <c r="P122" s="1">
        <v>0</v>
      </c>
      <c r="Q122" s="1" t="s">
        <v>1407</v>
      </c>
      <c r="R122" s="1" t="s">
        <v>632</v>
      </c>
      <c r="S122" s="1" t="s">
        <v>1408</v>
      </c>
      <c r="T122" s="1" t="s">
        <v>2863</v>
      </c>
      <c r="U122" s="1" t="s">
        <v>2864</v>
      </c>
      <c r="V122" s="1">
        <v>196</v>
      </c>
      <c r="W122" s="1" t="s">
        <v>48</v>
      </c>
      <c r="X122" s="1" t="s">
        <v>2865</v>
      </c>
      <c r="Y122" s="1" t="str">
        <f>HYPERLINK("http://dx.doi.org/10.1016/j.micpath.2024.106995","http://dx.doi.org/10.1016/j.micpath.2024.106995")</f>
        <v>http://dx.doi.org/10.1016/j.micpath.2024.106995</v>
      </c>
      <c r="Z122" s="1">
        <v>13</v>
      </c>
      <c r="AA122" s="1" t="s">
        <v>2866</v>
      </c>
      <c r="AB122" s="1" t="s">
        <v>67</v>
      </c>
      <c r="AC122" s="1" t="s">
        <v>2866</v>
      </c>
      <c r="AD122" s="1">
        <v>39368563</v>
      </c>
      <c r="AE122" s="1" t="s">
        <v>48</v>
      </c>
    </row>
    <row r="123" spans="1:31" s="1" customFormat="1" ht="18.5" x14ac:dyDescent="0.45">
      <c r="A123" s="1" t="s">
        <v>2867</v>
      </c>
      <c r="B123" s="1" t="s">
        <v>2868</v>
      </c>
      <c r="C123" s="1" t="s">
        <v>2869</v>
      </c>
      <c r="D123" s="1" t="s">
        <v>1307</v>
      </c>
      <c r="E123" s="1" t="s">
        <v>111</v>
      </c>
      <c r="F123" s="1" t="s">
        <v>2870</v>
      </c>
      <c r="G123" s="1" t="s">
        <v>48</v>
      </c>
      <c r="H123" s="1" t="s">
        <v>2871</v>
      </c>
      <c r="I123" s="2">
        <v>2024</v>
      </c>
      <c r="J123" s="1" t="s">
        <v>2872</v>
      </c>
      <c r="K123" s="1" t="s">
        <v>58</v>
      </c>
      <c r="L123" s="1" t="s">
        <v>2873</v>
      </c>
      <c r="M123" s="1">
        <v>34</v>
      </c>
      <c r="N123" s="1">
        <v>0</v>
      </c>
      <c r="O123" s="1">
        <v>0</v>
      </c>
      <c r="P123" s="1">
        <v>0</v>
      </c>
      <c r="Q123" s="1" t="s">
        <v>98</v>
      </c>
      <c r="R123" s="1" t="s">
        <v>99</v>
      </c>
      <c r="S123" s="1" t="s">
        <v>100</v>
      </c>
      <c r="T123" s="1" t="s">
        <v>1311</v>
      </c>
      <c r="U123" s="1" t="s">
        <v>1312</v>
      </c>
      <c r="V123" s="1" t="s">
        <v>48</v>
      </c>
      <c r="W123" s="1" t="s">
        <v>48</v>
      </c>
      <c r="X123" s="1" t="s">
        <v>2874</v>
      </c>
      <c r="Y123" s="1" t="str">
        <f>HYPERLINK("http://dx.doi.org/10.1177/2455328X241253640","http://dx.doi.org/10.1177/2455328X241253640")</f>
        <v>http://dx.doi.org/10.1177/2455328X241253640</v>
      </c>
      <c r="Z123" s="1">
        <v>11</v>
      </c>
      <c r="AA123" s="1" t="s">
        <v>460</v>
      </c>
      <c r="AB123" s="1" t="s">
        <v>124</v>
      </c>
      <c r="AC123" s="1" t="s">
        <v>461</v>
      </c>
      <c r="AD123" s="1" t="s">
        <v>48</v>
      </c>
      <c r="AE123" s="1" t="s">
        <v>48</v>
      </c>
    </row>
    <row r="124" spans="1:31" s="1" customFormat="1" ht="18.5" x14ac:dyDescent="0.45">
      <c r="A124" s="1" t="s">
        <v>2875</v>
      </c>
      <c r="B124" s="1" t="s">
        <v>2876</v>
      </c>
      <c r="C124" s="1" t="s">
        <v>2877</v>
      </c>
      <c r="D124" s="1" t="s">
        <v>2878</v>
      </c>
      <c r="E124" s="1" t="s">
        <v>53</v>
      </c>
      <c r="F124" s="1" t="s">
        <v>2879</v>
      </c>
      <c r="G124" s="1" t="s">
        <v>2880</v>
      </c>
      <c r="H124" s="1" t="s">
        <v>2881</v>
      </c>
      <c r="I124" s="2">
        <v>2024</v>
      </c>
      <c r="J124" s="1" t="s">
        <v>2882</v>
      </c>
      <c r="K124" s="1" t="s">
        <v>58</v>
      </c>
      <c r="L124" s="1" t="s">
        <v>2883</v>
      </c>
      <c r="M124" s="1">
        <v>46</v>
      </c>
      <c r="N124" s="1">
        <v>1</v>
      </c>
      <c r="O124" s="1">
        <v>1</v>
      </c>
      <c r="P124" s="1">
        <v>5</v>
      </c>
      <c r="Q124" s="1" t="s">
        <v>2884</v>
      </c>
      <c r="R124" s="1" t="s">
        <v>2885</v>
      </c>
      <c r="S124" s="1" t="s">
        <v>2886</v>
      </c>
      <c r="T124" s="1" t="s">
        <v>2887</v>
      </c>
      <c r="U124" s="1" t="s">
        <v>2888</v>
      </c>
      <c r="V124" s="1">
        <v>22</v>
      </c>
      <c r="W124" s="1">
        <v>1</v>
      </c>
      <c r="X124" s="1" t="s">
        <v>2889</v>
      </c>
      <c r="Y124" s="1" t="str">
        <f>HYPERLINK("http://dx.doi.org/10.32725/jab.2024.003","http://dx.doi.org/10.32725/jab.2024.003")</f>
        <v>http://dx.doi.org/10.32725/jab.2024.003</v>
      </c>
      <c r="Z124" s="1">
        <v>10</v>
      </c>
      <c r="AA124" s="1" t="s">
        <v>2890</v>
      </c>
      <c r="AB124" s="1" t="s">
        <v>67</v>
      </c>
      <c r="AC124" s="1" t="s">
        <v>2891</v>
      </c>
      <c r="AD124" s="1">
        <v>38505970</v>
      </c>
      <c r="AE124" s="1" t="s">
        <v>125</v>
      </c>
    </row>
    <row r="125" spans="1:31" s="1" customFormat="1" ht="18.5" x14ac:dyDescent="0.45">
      <c r="A125" s="1" t="s">
        <v>2392</v>
      </c>
      <c r="B125" s="1" t="s">
        <v>2393</v>
      </c>
      <c r="C125" s="1" t="s">
        <v>2936</v>
      </c>
      <c r="D125" s="1" t="s">
        <v>827</v>
      </c>
      <c r="E125" s="1" t="s">
        <v>53</v>
      </c>
      <c r="F125" s="1" t="s">
        <v>2937</v>
      </c>
      <c r="G125" s="1" t="s">
        <v>2938</v>
      </c>
      <c r="H125" s="1" t="s">
        <v>2939</v>
      </c>
      <c r="I125" s="2">
        <v>2024</v>
      </c>
      <c r="J125" s="1" t="s">
        <v>2940</v>
      </c>
      <c r="K125" s="1" t="s">
        <v>115</v>
      </c>
      <c r="L125" s="1" t="s">
        <v>2941</v>
      </c>
      <c r="M125" s="1">
        <v>22</v>
      </c>
      <c r="N125" s="1">
        <v>0</v>
      </c>
      <c r="O125" s="1">
        <v>0</v>
      </c>
      <c r="P125" s="1">
        <v>1</v>
      </c>
      <c r="Q125" s="1" t="s">
        <v>517</v>
      </c>
      <c r="R125" s="1" t="s">
        <v>239</v>
      </c>
      <c r="S125" s="1" t="s">
        <v>518</v>
      </c>
      <c r="T125" s="1" t="s">
        <v>830</v>
      </c>
      <c r="U125" s="1" t="s">
        <v>831</v>
      </c>
      <c r="V125" s="1">
        <v>62</v>
      </c>
      <c r="W125" s="1">
        <v>4</v>
      </c>
      <c r="X125" s="1" t="s">
        <v>2942</v>
      </c>
      <c r="Y125" s="1" t="str">
        <f>HYPERLINK("http://dx.doi.org/10.56042/ijpap.v62i4.7614","http://dx.doi.org/10.56042/ijpap.v62i4.7614")</f>
        <v>http://dx.doi.org/10.56042/ijpap.v62i4.7614</v>
      </c>
      <c r="Z125" s="1">
        <v>7</v>
      </c>
      <c r="AA125" s="1" t="s">
        <v>669</v>
      </c>
      <c r="AB125" s="1" t="s">
        <v>67</v>
      </c>
      <c r="AC125" s="1" t="s">
        <v>670</v>
      </c>
      <c r="AD125" s="1" t="s">
        <v>48</v>
      </c>
      <c r="AE125" s="1" t="s">
        <v>125</v>
      </c>
    </row>
    <row r="126" spans="1:31" s="1" customFormat="1" ht="18.5" x14ac:dyDescent="0.45">
      <c r="A126" s="1" t="s">
        <v>2943</v>
      </c>
      <c r="B126" s="1" t="s">
        <v>2944</v>
      </c>
      <c r="C126" s="1" t="s">
        <v>2945</v>
      </c>
      <c r="D126" s="1" t="s">
        <v>2946</v>
      </c>
      <c r="E126" s="1" t="s">
        <v>53</v>
      </c>
      <c r="F126" s="1" t="s">
        <v>2947</v>
      </c>
      <c r="G126" s="1" t="s">
        <v>2948</v>
      </c>
      <c r="H126" s="1" t="s">
        <v>2949</v>
      </c>
      <c r="I126" s="2">
        <v>2024</v>
      </c>
      <c r="J126" s="1" t="s">
        <v>2950</v>
      </c>
      <c r="K126" s="1" t="s">
        <v>58</v>
      </c>
      <c r="L126" s="1" t="s">
        <v>2513</v>
      </c>
      <c r="M126" s="1">
        <v>42</v>
      </c>
      <c r="N126" s="1">
        <v>3</v>
      </c>
      <c r="O126" s="1">
        <v>2</v>
      </c>
      <c r="P126" s="1">
        <v>5</v>
      </c>
      <c r="Q126" s="1" t="s">
        <v>132</v>
      </c>
      <c r="R126" s="1" t="s">
        <v>133</v>
      </c>
      <c r="S126" s="1" t="s">
        <v>134</v>
      </c>
      <c r="T126" s="1" t="s">
        <v>48</v>
      </c>
      <c r="U126" s="1" t="s">
        <v>2951</v>
      </c>
      <c r="V126" s="1">
        <v>15</v>
      </c>
      <c r="W126" s="1">
        <v>2</v>
      </c>
      <c r="X126" s="1" t="s">
        <v>2952</v>
      </c>
      <c r="Y126" s="1" t="str">
        <f>HYPERLINK("http://dx.doi.org/10.3390/insects15020083","http://dx.doi.org/10.3390/insects15020083")</f>
        <v>http://dx.doi.org/10.3390/insects15020083</v>
      </c>
      <c r="Z126" s="1">
        <v>14</v>
      </c>
      <c r="AA126" s="1" t="s">
        <v>2521</v>
      </c>
      <c r="AB126" s="1" t="s">
        <v>67</v>
      </c>
      <c r="AC126" s="1" t="s">
        <v>2521</v>
      </c>
      <c r="AD126" s="1">
        <v>38392503</v>
      </c>
      <c r="AE126" s="1" t="s">
        <v>337</v>
      </c>
    </row>
    <row r="127" spans="1:31" s="1" customFormat="1" ht="18.5" x14ac:dyDescent="0.45">
      <c r="A127" s="1" t="s">
        <v>2981</v>
      </c>
      <c r="B127" s="1" t="s">
        <v>2982</v>
      </c>
      <c r="C127" s="1" t="s">
        <v>2983</v>
      </c>
      <c r="D127" s="1" t="s">
        <v>2984</v>
      </c>
      <c r="E127" s="1" t="s">
        <v>53</v>
      </c>
      <c r="F127" s="1" t="s">
        <v>2985</v>
      </c>
      <c r="G127" s="1" t="s">
        <v>2986</v>
      </c>
      <c r="H127" s="1" t="s">
        <v>2987</v>
      </c>
      <c r="I127" s="2">
        <v>2024</v>
      </c>
      <c r="J127" s="1" t="s">
        <v>2988</v>
      </c>
      <c r="K127" s="1" t="s">
        <v>58</v>
      </c>
      <c r="L127" s="1" t="s">
        <v>2831</v>
      </c>
      <c r="M127" s="1">
        <v>98</v>
      </c>
      <c r="N127" s="1">
        <v>0</v>
      </c>
      <c r="O127" s="1">
        <v>5</v>
      </c>
      <c r="P127" s="1">
        <v>5</v>
      </c>
      <c r="Q127" s="1" t="s">
        <v>2989</v>
      </c>
      <c r="R127" s="1" t="s">
        <v>2990</v>
      </c>
      <c r="S127" s="1" t="s">
        <v>2991</v>
      </c>
      <c r="T127" s="1" t="s">
        <v>2992</v>
      </c>
      <c r="U127" s="1" t="s">
        <v>2993</v>
      </c>
      <c r="V127" s="1">
        <v>19</v>
      </c>
      <c r="W127" s="1">
        <v>24</v>
      </c>
      <c r="X127" s="1" t="s">
        <v>2995</v>
      </c>
      <c r="Y127" s="1" t="str">
        <f>HYPERLINK("http://dx.doi.org/10.1002/asia.202400361","http://dx.doi.org/10.1002/asia.202400361")</f>
        <v>http://dx.doi.org/10.1002/asia.202400361</v>
      </c>
      <c r="Z127" s="1">
        <v>9</v>
      </c>
      <c r="AA127" s="1" t="s">
        <v>2292</v>
      </c>
      <c r="AB127" s="1" t="s">
        <v>67</v>
      </c>
      <c r="AC127" s="1" t="s">
        <v>2293</v>
      </c>
      <c r="AD127" s="1">
        <v>39331573</v>
      </c>
      <c r="AE127" s="1" t="s">
        <v>48</v>
      </c>
    </row>
    <row r="128" spans="1:31" s="1" customFormat="1" ht="18.5" x14ac:dyDescent="0.45">
      <c r="A128" s="1" t="s">
        <v>3001</v>
      </c>
      <c r="B128" s="1" t="s">
        <v>3002</v>
      </c>
      <c r="C128" s="1" t="s">
        <v>3003</v>
      </c>
      <c r="D128" s="1" t="s">
        <v>3004</v>
      </c>
      <c r="E128" s="1" t="s">
        <v>53</v>
      </c>
      <c r="F128" s="1" t="s">
        <v>3005</v>
      </c>
      <c r="G128" s="1" t="s">
        <v>3006</v>
      </c>
      <c r="H128" s="1" t="s">
        <v>3007</v>
      </c>
      <c r="I128" s="2">
        <v>2024</v>
      </c>
      <c r="J128" s="1" t="s">
        <v>3008</v>
      </c>
      <c r="K128" s="1" t="s">
        <v>58</v>
      </c>
      <c r="L128" s="1" t="s">
        <v>3009</v>
      </c>
      <c r="M128" s="1">
        <v>80</v>
      </c>
      <c r="N128" s="1">
        <v>1</v>
      </c>
      <c r="O128" s="1">
        <v>0</v>
      </c>
      <c r="P128" s="1">
        <v>2</v>
      </c>
      <c r="Q128" s="1" t="s">
        <v>803</v>
      </c>
      <c r="R128" s="1" t="s">
        <v>239</v>
      </c>
      <c r="S128" s="1" t="s">
        <v>804</v>
      </c>
      <c r="T128" s="1" t="s">
        <v>3010</v>
      </c>
      <c r="U128" s="1" t="s">
        <v>3011</v>
      </c>
      <c r="V128" s="1">
        <v>53</v>
      </c>
      <c r="W128" s="1">
        <v>4</v>
      </c>
      <c r="X128" s="1" t="s">
        <v>3014</v>
      </c>
      <c r="Y128" s="1" t="str">
        <f>HYPERLINK("http://dx.doi.org/10.1007/s12596-023-01422-4","http://dx.doi.org/10.1007/s12596-023-01422-4")</f>
        <v>http://dx.doi.org/10.1007/s12596-023-01422-4</v>
      </c>
      <c r="Z128" s="1">
        <v>13</v>
      </c>
      <c r="AA128" s="1" t="s">
        <v>3015</v>
      </c>
      <c r="AB128" s="1" t="s">
        <v>124</v>
      </c>
      <c r="AC128" s="1" t="s">
        <v>3015</v>
      </c>
      <c r="AD128" s="1" t="s">
        <v>48</v>
      </c>
      <c r="AE128" s="1" t="s">
        <v>48</v>
      </c>
    </row>
    <row r="129" spans="1:31" s="1" customFormat="1" ht="18.5" x14ac:dyDescent="0.45">
      <c r="A129" s="1" t="s">
        <v>3016</v>
      </c>
      <c r="B129" s="1" t="s">
        <v>3017</v>
      </c>
      <c r="C129" s="1" t="s">
        <v>3018</v>
      </c>
      <c r="D129" s="1" t="s">
        <v>3019</v>
      </c>
      <c r="E129" s="1" t="s">
        <v>53</v>
      </c>
      <c r="F129" s="1" t="s">
        <v>3020</v>
      </c>
      <c r="G129" s="1" t="s">
        <v>3021</v>
      </c>
      <c r="H129" s="1" t="s">
        <v>3022</v>
      </c>
      <c r="I129" s="2">
        <v>2024</v>
      </c>
      <c r="J129" s="1" t="s">
        <v>3023</v>
      </c>
      <c r="K129" s="1" t="s">
        <v>58</v>
      </c>
      <c r="L129" s="1" t="s">
        <v>2999</v>
      </c>
      <c r="M129" s="1">
        <v>53</v>
      </c>
      <c r="N129" s="1">
        <v>4</v>
      </c>
      <c r="O129" s="1">
        <v>1</v>
      </c>
      <c r="P129" s="1">
        <v>16</v>
      </c>
      <c r="Q129" s="1" t="s">
        <v>3024</v>
      </c>
      <c r="R129" s="1" t="s">
        <v>422</v>
      </c>
      <c r="S129" s="1" t="s">
        <v>3025</v>
      </c>
      <c r="T129" s="1" t="s">
        <v>3026</v>
      </c>
      <c r="U129" s="1" t="s">
        <v>3027</v>
      </c>
      <c r="V129" s="1">
        <v>447</v>
      </c>
      <c r="W129" s="1" t="s">
        <v>48</v>
      </c>
      <c r="X129" s="1" t="s">
        <v>3030</v>
      </c>
      <c r="Y129" s="1" t="str">
        <f>HYPERLINK("http://dx.doi.org/10.1016/j.jphotochem.2023.115239","http://dx.doi.org/10.1016/j.jphotochem.2023.115239")</f>
        <v>http://dx.doi.org/10.1016/j.jphotochem.2023.115239</v>
      </c>
      <c r="Z129" s="1">
        <v>11</v>
      </c>
      <c r="AA129" s="1" t="s">
        <v>2899</v>
      </c>
      <c r="AB129" s="1" t="s">
        <v>67</v>
      </c>
      <c r="AC129" s="1" t="s">
        <v>2293</v>
      </c>
      <c r="AD129" s="1" t="s">
        <v>48</v>
      </c>
      <c r="AE129" s="1" t="s">
        <v>48</v>
      </c>
    </row>
    <row r="130" spans="1:31" s="1" customFormat="1" ht="18.5" x14ac:dyDescent="0.45">
      <c r="A130" s="1" t="s">
        <v>3046</v>
      </c>
      <c r="B130" s="1" t="s">
        <v>3047</v>
      </c>
      <c r="C130" s="1" t="s">
        <v>3048</v>
      </c>
      <c r="D130" s="1" t="s">
        <v>904</v>
      </c>
      <c r="E130" s="1" t="s">
        <v>53</v>
      </c>
      <c r="F130" s="1" t="s">
        <v>3049</v>
      </c>
      <c r="G130" s="1" t="s">
        <v>3050</v>
      </c>
      <c r="H130" s="1" t="s">
        <v>3051</v>
      </c>
      <c r="I130" s="2">
        <v>2024</v>
      </c>
      <c r="J130" s="1" t="s">
        <v>3052</v>
      </c>
      <c r="K130" s="1" t="s">
        <v>58</v>
      </c>
      <c r="L130" s="1" t="s">
        <v>3053</v>
      </c>
      <c r="M130" s="1">
        <v>59</v>
      </c>
      <c r="N130" s="1">
        <v>0</v>
      </c>
      <c r="O130" s="1">
        <v>2</v>
      </c>
      <c r="P130" s="1">
        <v>2</v>
      </c>
      <c r="Q130" s="1" t="s">
        <v>503</v>
      </c>
      <c r="R130" s="1" t="s">
        <v>542</v>
      </c>
      <c r="S130" s="1" t="s">
        <v>543</v>
      </c>
      <c r="T130" s="1" t="s">
        <v>907</v>
      </c>
      <c r="U130" s="1" t="s">
        <v>908</v>
      </c>
      <c r="V130" s="1">
        <v>196</v>
      </c>
      <c r="W130" s="1">
        <v>12</v>
      </c>
      <c r="X130" s="1" t="s">
        <v>3054</v>
      </c>
      <c r="Y130" s="1" t="str">
        <f>HYPERLINK("http://dx.doi.org/10.1007/s10661-024-13335-1","http://dx.doi.org/10.1007/s10661-024-13335-1")</f>
        <v>http://dx.doi.org/10.1007/s10661-024-13335-1</v>
      </c>
      <c r="Z130" s="1">
        <v>14</v>
      </c>
      <c r="AA130" s="1" t="s">
        <v>438</v>
      </c>
      <c r="AB130" s="1" t="s">
        <v>67</v>
      </c>
      <c r="AC130" s="1" t="s">
        <v>439</v>
      </c>
      <c r="AD130" s="1">
        <v>39514110</v>
      </c>
      <c r="AE130" s="1" t="s">
        <v>48</v>
      </c>
    </row>
    <row r="131" spans="1:31" s="1" customFormat="1" ht="18.5" x14ac:dyDescent="0.45">
      <c r="A131" s="1" t="s">
        <v>3055</v>
      </c>
      <c r="B131" s="1" t="s">
        <v>3056</v>
      </c>
      <c r="C131" s="1" t="s">
        <v>3057</v>
      </c>
      <c r="D131" s="1" t="s">
        <v>3058</v>
      </c>
      <c r="E131" s="1" t="s">
        <v>1114</v>
      </c>
      <c r="F131" s="1" t="s">
        <v>3059</v>
      </c>
      <c r="G131" s="1" t="s">
        <v>3060</v>
      </c>
      <c r="H131" s="1" t="s">
        <v>3061</v>
      </c>
      <c r="I131" s="2">
        <v>2024</v>
      </c>
      <c r="J131" s="1" t="s">
        <v>3062</v>
      </c>
      <c r="K131" s="1" t="s">
        <v>58</v>
      </c>
      <c r="L131" s="1" t="s">
        <v>3063</v>
      </c>
      <c r="M131" s="1">
        <v>62</v>
      </c>
      <c r="N131" s="1">
        <v>0</v>
      </c>
      <c r="O131" s="1">
        <v>7</v>
      </c>
      <c r="P131" s="1">
        <v>7</v>
      </c>
      <c r="Q131" s="1" t="s">
        <v>347</v>
      </c>
      <c r="R131" s="1" t="s">
        <v>348</v>
      </c>
      <c r="S131" s="1" t="s">
        <v>349</v>
      </c>
      <c r="T131" s="1" t="s">
        <v>3064</v>
      </c>
      <c r="U131" s="1" t="s">
        <v>48</v>
      </c>
      <c r="V131" s="1">
        <v>12</v>
      </c>
      <c r="W131" s="1">
        <v>19</v>
      </c>
      <c r="X131" s="1" t="s">
        <v>3065</v>
      </c>
      <c r="Y131" s="1" t="str">
        <f>HYPERLINK("http://dx.doi.org/10.14814/phy2.70019","http://dx.doi.org/10.14814/phy2.70019")</f>
        <v>http://dx.doi.org/10.14814/phy2.70019</v>
      </c>
      <c r="Z131" s="1">
        <v>14</v>
      </c>
      <c r="AA131" s="1" t="s">
        <v>3066</v>
      </c>
      <c r="AB131" s="1" t="s">
        <v>124</v>
      </c>
      <c r="AC131" s="1" t="s">
        <v>3066</v>
      </c>
      <c r="AD131" s="1">
        <v>39358834</v>
      </c>
      <c r="AE131" s="1" t="s">
        <v>125</v>
      </c>
    </row>
    <row r="132" spans="1:31" s="1" customFormat="1" ht="18.5" x14ac:dyDescent="0.45">
      <c r="A132" s="1" t="s">
        <v>3067</v>
      </c>
      <c r="B132" s="1" t="s">
        <v>3068</v>
      </c>
      <c r="C132" s="1" t="s">
        <v>3069</v>
      </c>
      <c r="D132" s="1" t="s">
        <v>3070</v>
      </c>
      <c r="E132" s="1" t="s">
        <v>111</v>
      </c>
      <c r="F132" s="1" t="s">
        <v>3071</v>
      </c>
      <c r="G132" s="1" t="s">
        <v>3072</v>
      </c>
      <c r="H132" s="1" t="s">
        <v>3073</v>
      </c>
      <c r="I132" s="2">
        <v>2024</v>
      </c>
      <c r="J132" s="1" t="s">
        <v>3074</v>
      </c>
      <c r="K132" s="1" t="s">
        <v>115</v>
      </c>
      <c r="L132" s="1" t="s">
        <v>2513</v>
      </c>
      <c r="M132" s="1">
        <v>67</v>
      </c>
      <c r="N132" s="1">
        <v>0</v>
      </c>
      <c r="O132" s="1">
        <v>3</v>
      </c>
      <c r="P132" s="1">
        <v>3</v>
      </c>
      <c r="Q132" s="1" t="s">
        <v>1242</v>
      </c>
      <c r="R132" s="1" t="s">
        <v>1243</v>
      </c>
      <c r="S132" s="1" t="s">
        <v>1244</v>
      </c>
      <c r="T132" s="1" t="s">
        <v>3075</v>
      </c>
      <c r="U132" s="1" t="s">
        <v>3076</v>
      </c>
      <c r="V132" s="1" t="s">
        <v>48</v>
      </c>
      <c r="W132" s="1" t="s">
        <v>48</v>
      </c>
      <c r="X132" s="1" t="s">
        <v>3077</v>
      </c>
      <c r="Y132" s="1" t="str">
        <f>HYPERLINK("http://dx.doi.org/10.1080/01916122.2024.2398052","http://dx.doi.org/10.1080/01916122.2024.2398052")</f>
        <v>http://dx.doi.org/10.1080/01916122.2024.2398052</v>
      </c>
      <c r="Z132" s="1">
        <v>13</v>
      </c>
      <c r="AA132" s="1" t="s">
        <v>3078</v>
      </c>
      <c r="AB132" s="1" t="s">
        <v>67</v>
      </c>
      <c r="AC132" s="1" t="s">
        <v>3078</v>
      </c>
      <c r="AD132" s="1" t="s">
        <v>48</v>
      </c>
      <c r="AE132" s="1" t="s">
        <v>48</v>
      </c>
    </row>
    <row r="133" spans="1:31" s="1" customFormat="1" ht="18.5" x14ac:dyDescent="0.45">
      <c r="A133" s="1" t="s">
        <v>3079</v>
      </c>
      <c r="B133" s="1" t="s">
        <v>3080</v>
      </c>
      <c r="C133" s="1" t="s">
        <v>3081</v>
      </c>
      <c r="D133" s="1" t="s">
        <v>327</v>
      </c>
      <c r="E133" s="1" t="s">
        <v>53</v>
      </c>
      <c r="F133" s="1" t="s">
        <v>48</v>
      </c>
      <c r="G133" s="1" t="s">
        <v>3082</v>
      </c>
      <c r="H133" s="1" t="s">
        <v>3083</v>
      </c>
      <c r="I133" s="2">
        <v>2024</v>
      </c>
      <c r="J133" s="1" t="s">
        <v>3084</v>
      </c>
      <c r="K133" s="1" t="s">
        <v>58</v>
      </c>
      <c r="L133" s="1" t="s">
        <v>3085</v>
      </c>
      <c r="M133" s="1">
        <v>46</v>
      </c>
      <c r="N133" s="1">
        <v>1</v>
      </c>
      <c r="O133" s="1">
        <v>2</v>
      </c>
      <c r="P133" s="1">
        <v>3</v>
      </c>
      <c r="Q133" s="1" t="s">
        <v>330</v>
      </c>
      <c r="R133" s="1" t="s">
        <v>331</v>
      </c>
      <c r="S133" s="1" t="s">
        <v>332</v>
      </c>
      <c r="T133" s="1" t="s">
        <v>333</v>
      </c>
      <c r="U133" s="1" t="s">
        <v>48</v>
      </c>
      <c r="V133" s="1">
        <v>19</v>
      </c>
      <c r="W133" s="1">
        <v>4</v>
      </c>
      <c r="X133" s="1" t="s">
        <v>3086</v>
      </c>
      <c r="Y133" s="1" t="str">
        <f>HYPERLINK("http://dx.doi.org/10.1371/journal.pone.0300398","http://dx.doi.org/10.1371/journal.pone.0300398")</f>
        <v>http://dx.doi.org/10.1371/journal.pone.0300398</v>
      </c>
      <c r="Z133" s="1">
        <v>20</v>
      </c>
      <c r="AA133" s="1" t="s">
        <v>335</v>
      </c>
      <c r="AB133" s="1" t="s">
        <v>67</v>
      </c>
      <c r="AC133" s="1" t="s">
        <v>336</v>
      </c>
      <c r="AD133" s="1">
        <v>38635674</v>
      </c>
      <c r="AE133" s="1" t="s">
        <v>366</v>
      </c>
    </row>
    <row r="134" spans="1:31" s="1" customFormat="1" ht="18.5" x14ac:dyDescent="0.45">
      <c r="A134" s="1" t="s">
        <v>2900</v>
      </c>
      <c r="B134" s="1" t="s">
        <v>2901</v>
      </c>
      <c r="C134" s="1" t="s">
        <v>3087</v>
      </c>
      <c r="D134" s="1" t="s">
        <v>1165</v>
      </c>
      <c r="E134" s="1" t="s">
        <v>53</v>
      </c>
      <c r="F134" s="1" t="s">
        <v>3088</v>
      </c>
      <c r="G134" s="1" t="s">
        <v>3089</v>
      </c>
      <c r="H134" s="1" t="s">
        <v>3090</v>
      </c>
      <c r="I134" s="2">
        <v>2024</v>
      </c>
      <c r="J134" s="1" t="s">
        <v>2903</v>
      </c>
      <c r="K134" s="1" t="s">
        <v>58</v>
      </c>
      <c r="L134" s="1" t="s">
        <v>3091</v>
      </c>
      <c r="M134" s="1">
        <v>50</v>
      </c>
      <c r="N134" s="1">
        <v>8</v>
      </c>
      <c r="O134" s="1">
        <v>7</v>
      </c>
      <c r="P134" s="1">
        <v>26</v>
      </c>
      <c r="Q134" s="1" t="s">
        <v>1168</v>
      </c>
      <c r="R134" s="1" t="s">
        <v>504</v>
      </c>
      <c r="S134" s="1" t="s">
        <v>1169</v>
      </c>
      <c r="T134" s="1" t="s">
        <v>1170</v>
      </c>
      <c r="U134" s="1" t="s">
        <v>1171</v>
      </c>
      <c r="V134" s="1">
        <v>658</v>
      </c>
      <c r="W134" s="1" t="s">
        <v>48</v>
      </c>
      <c r="X134" s="1" t="s">
        <v>3092</v>
      </c>
      <c r="Y134" s="1" t="str">
        <f>HYPERLINK("http://dx.doi.org/10.1016/j.ins.2023.120016","http://dx.doi.org/10.1016/j.ins.2023.120016")</f>
        <v>http://dx.doi.org/10.1016/j.ins.2023.120016</v>
      </c>
      <c r="Z134" s="1">
        <v>20</v>
      </c>
      <c r="AA134" s="1" t="s">
        <v>291</v>
      </c>
      <c r="AB134" s="1" t="s">
        <v>67</v>
      </c>
      <c r="AC134" s="1" t="s">
        <v>292</v>
      </c>
      <c r="AD134" s="1" t="s">
        <v>48</v>
      </c>
      <c r="AE134" s="1" t="s">
        <v>48</v>
      </c>
    </row>
    <row r="135" spans="1:31" s="1" customFormat="1" ht="18.5" x14ac:dyDescent="0.45">
      <c r="A135" s="1" t="s">
        <v>3123</v>
      </c>
      <c r="B135" s="1" t="s">
        <v>3124</v>
      </c>
      <c r="C135" s="1" t="s">
        <v>3125</v>
      </c>
      <c r="D135" s="1" t="s">
        <v>2917</v>
      </c>
      <c r="E135" s="1" t="s">
        <v>53</v>
      </c>
      <c r="F135" s="1" t="s">
        <v>3126</v>
      </c>
      <c r="G135" s="1" t="s">
        <v>3127</v>
      </c>
      <c r="H135" s="1" t="s">
        <v>3128</v>
      </c>
      <c r="I135" s="2">
        <v>2024</v>
      </c>
      <c r="J135" s="1" t="s">
        <v>3129</v>
      </c>
      <c r="K135" s="1" t="s">
        <v>58</v>
      </c>
      <c r="L135" s="1" t="s">
        <v>3130</v>
      </c>
      <c r="M135" s="1">
        <v>46</v>
      </c>
      <c r="N135" s="1">
        <v>0</v>
      </c>
      <c r="O135" s="1">
        <v>2</v>
      </c>
      <c r="P135" s="1">
        <v>2</v>
      </c>
      <c r="Q135" s="1" t="s">
        <v>2270</v>
      </c>
      <c r="R135" s="1" t="s">
        <v>2271</v>
      </c>
      <c r="S135" s="1" t="s">
        <v>2272</v>
      </c>
      <c r="T135" s="1" t="s">
        <v>2920</v>
      </c>
      <c r="U135" s="1" t="s">
        <v>2921</v>
      </c>
      <c r="V135" s="1">
        <v>10</v>
      </c>
      <c r="W135" s="1">
        <v>3</v>
      </c>
      <c r="X135" s="1" t="s">
        <v>3131</v>
      </c>
      <c r="Y135" s="1" t="str">
        <f>HYPERLINK("http://dx.doi.org/10.1007/s40899-024-01113-3","http://dx.doi.org/10.1007/s40899-024-01113-3")</f>
        <v>http://dx.doi.org/10.1007/s40899-024-01113-3</v>
      </c>
      <c r="Z135" s="1">
        <v>18</v>
      </c>
      <c r="AA135" s="1" t="s">
        <v>205</v>
      </c>
      <c r="AB135" s="1" t="s">
        <v>124</v>
      </c>
      <c r="AC135" s="1" t="s">
        <v>205</v>
      </c>
      <c r="AD135" s="1" t="s">
        <v>48</v>
      </c>
      <c r="AE135" s="1" t="s">
        <v>48</v>
      </c>
    </row>
    <row r="136" spans="1:31" s="1" customFormat="1" ht="18.5" x14ac:dyDescent="0.45">
      <c r="A136" s="1" t="s">
        <v>3132</v>
      </c>
      <c r="B136" s="1" t="s">
        <v>3133</v>
      </c>
      <c r="C136" s="1" t="s">
        <v>3134</v>
      </c>
      <c r="D136" s="1" t="s">
        <v>3135</v>
      </c>
      <c r="E136" s="1" t="s">
        <v>53</v>
      </c>
      <c r="F136" s="1" t="s">
        <v>3136</v>
      </c>
      <c r="G136" s="1" t="s">
        <v>3137</v>
      </c>
      <c r="H136" s="1" t="s">
        <v>3138</v>
      </c>
      <c r="I136" s="2">
        <v>2024</v>
      </c>
      <c r="J136" s="1" t="s">
        <v>3139</v>
      </c>
      <c r="K136" s="1" t="s">
        <v>58</v>
      </c>
      <c r="L136" s="1" t="s">
        <v>1134</v>
      </c>
      <c r="M136" s="1">
        <v>89</v>
      </c>
      <c r="N136" s="1">
        <v>0</v>
      </c>
      <c r="O136" s="1">
        <v>3</v>
      </c>
      <c r="P136" s="1">
        <v>4</v>
      </c>
      <c r="Q136" s="1" t="s">
        <v>347</v>
      </c>
      <c r="R136" s="1" t="s">
        <v>348</v>
      </c>
      <c r="S136" s="1" t="s">
        <v>349</v>
      </c>
      <c r="T136" s="1" t="s">
        <v>3140</v>
      </c>
      <c r="U136" s="1" t="s">
        <v>3141</v>
      </c>
      <c r="V136" s="1">
        <v>129</v>
      </c>
      <c r="W136" s="1">
        <v>2</v>
      </c>
      <c r="X136" s="1" t="s">
        <v>3142</v>
      </c>
      <c r="Y136" s="1" t="str">
        <f>HYPERLINK("http://dx.doi.org/10.1111/basr.12342","http://dx.doi.org/10.1111/basr.12342")</f>
        <v>http://dx.doi.org/10.1111/basr.12342</v>
      </c>
      <c r="Z136" s="1">
        <v>20</v>
      </c>
      <c r="AA136" s="1" t="s">
        <v>1630</v>
      </c>
      <c r="AB136" s="1" t="s">
        <v>124</v>
      </c>
      <c r="AC136" s="1" t="s">
        <v>510</v>
      </c>
      <c r="AD136" s="1" t="s">
        <v>48</v>
      </c>
      <c r="AE136" s="1" t="s">
        <v>48</v>
      </c>
    </row>
    <row r="137" spans="1:31" s="1" customFormat="1" ht="18.5" x14ac:dyDescent="0.45">
      <c r="A137" s="1" t="s">
        <v>3168</v>
      </c>
      <c r="B137" s="1" t="s">
        <v>3169</v>
      </c>
      <c r="C137" s="1" t="s">
        <v>3170</v>
      </c>
      <c r="D137" s="1" t="s">
        <v>2194</v>
      </c>
      <c r="E137" s="1" t="s">
        <v>53</v>
      </c>
      <c r="F137" s="1" t="s">
        <v>3171</v>
      </c>
      <c r="G137" s="1" t="s">
        <v>3172</v>
      </c>
      <c r="H137" s="1" t="s">
        <v>3173</v>
      </c>
      <c r="I137" s="2">
        <v>2024</v>
      </c>
      <c r="J137" s="1" t="s">
        <v>3174</v>
      </c>
      <c r="K137" s="1" t="s">
        <v>58</v>
      </c>
      <c r="L137" s="1" t="s">
        <v>3175</v>
      </c>
      <c r="M137" s="1">
        <v>73</v>
      </c>
      <c r="N137" s="1">
        <v>0</v>
      </c>
      <c r="O137" s="1">
        <v>2</v>
      </c>
      <c r="P137" s="1">
        <v>2</v>
      </c>
      <c r="Q137" s="1" t="s">
        <v>503</v>
      </c>
      <c r="R137" s="1" t="s">
        <v>542</v>
      </c>
      <c r="S137" s="1" t="s">
        <v>543</v>
      </c>
      <c r="T137" s="1" t="s">
        <v>2195</v>
      </c>
      <c r="U137" s="1" t="s">
        <v>2196</v>
      </c>
      <c r="V137" s="1">
        <v>89</v>
      </c>
      <c r="W137" s="1">
        <v>4</v>
      </c>
      <c r="X137" s="1" t="s">
        <v>3176</v>
      </c>
      <c r="Y137" s="1" t="str">
        <f>HYPERLINK("http://dx.doi.org/10.1007/s10708-024-11179-3","http://dx.doi.org/10.1007/s10708-024-11179-3")</f>
        <v>http://dx.doi.org/10.1007/s10708-024-11179-3</v>
      </c>
      <c r="Z137" s="1">
        <v>17</v>
      </c>
      <c r="AA137" s="1" t="s">
        <v>493</v>
      </c>
      <c r="AB137" s="1" t="s">
        <v>124</v>
      </c>
      <c r="AC137" s="1" t="s">
        <v>493</v>
      </c>
      <c r="AD137" s="1" t="s">
        <v>48</v>
      </c>
      <c r="AE137" s="1" t="s">
        <v>48</v>
      </c>
    </row>
    <row r="138" spans="1:31" s="1" customFormat="1" ht="18.5" x14ac:dyDescent="0.45">
      <c r="A138" s="1" t="s">
        <v>3210</v>
      </c>
      <c r="B138" s="1" t="s">
        <v>3211</v>
      </c>
      <c r="C138" s="1" t="s">
        <v>3212</v>
      </c>
      <c r="D138" s="1" t="s">
        <v>3213</v>
      </c>
      <c r="E138" s="1" t="s">
        <v>53</v>
      </c>
      <c r="F138" s="1" t="s">
        <v>3214</v>
      </c>
      <c r="G138" s="1" t="s">
        <v>3215</v>
      </c>
      <c r="H138" s="1" t="s">
        <v>3216</v>
      </c>
      <c r="I138" s="2">
        <v>2024</v>
      </c>
      <c r="J138" s="1" t="s">
        <v>3217</v>
      </c>
      <c r="K138" s="1" t="s">
        <v>115</v>
      </c>
      <c r="L138" s="1" t="s">
        <v>2910</v>
      </c>
      <c r="M138" s="1">
        <v>99</v>
      </c>
      <c r="N138" s="1">
        <v>2</v>
      </c>
      <c r="O138" s="1">
        <v>1</v>
      </c>
      <c r="P138" s="1">
        <v>3</v>
      </c>
      <c r="Q138" s="1" t="s">
        <v>503</v>
      </c>
      <c r="R138" s="1" t="s">
        <v>542</v>
      </c>
      <c r="S138" s="1" t="s">
        <v>543</v>
      </c>
      <c r="T138" s="1" t="s">
        <v>3218</v>
      </c>
      <c r="U138" s="1" t="s">
        <v>3219</v>
      </c>
      <c r="V138" s="1">
        <v>40</v>
      </c>
      <c r="W138" s="1">
        <v>6</v>
      </c>
      <c r="X138" s="1" t="s">
        <v>3220</v>
      </c>
      <c r="Y138" s="1" t="str">
        <f>HYPERLINK("http://dx.doi.org/10.1007/s11274-024-03983-3","http://dx.doi.org/10.1007/s11274-024-03983-3")</f>
        <v>http://dx.doi.org/10.1007/s11274-024-03983-3</v>
      </c>
      <c r="Z138" s="1">
        <v>17</v>
      </c>
      <c r="AA138" s="1" t="s">
        <v>1528</v>
      </c>
      <c r="AB138" s="1" t="s">
        <v>67</v>
      </c>
      <c r="AC138" s="1" t="s">
        <v>1528</v>
      </c>
      <c r="AD138" s="1">
        <v>38630156</v>
      </c>
      <c r="AE138" s="1" t="s">
        <v>48</v>
      </c>
    </row>
    <row r="139" spans="1:31" s="1" customFormat="1" ht="18.5" x14ac:dyDescent="0.45">
      <c r="A139" s="1" t="s">
        <v>3221</v>
      </c>
      <c r="B139" s="1" t="s">
        <v>3222</v>
      </c>
      <c r="C139" s="1" t="s">
        <v>3223</v>
      </c>
      <c r="D139" s="1" t="s">
        <v>916</v>
      </c>
      <c r="E139" s="1" t="s">
        <v>53</v>
      </c>
      <c r="F139" s="1" t="s">
        <v>3224</v>
      </c>
      <c r="G139" s="1" t="s">
        <v>3225</v>
      </c>
      <c r="H139" s="1" t="s">
        <v>3226</v>
      </c>
      <c r="I139" s="2">
        <v>2024</v>
      </c>
      <c r="J139" s="1" t="s">
        <v>3227</v>
      </c>
      <c r="K139" s="1" t="s">
        <v>58</v>
      </c>
      <c r="L139" s="1" t="s">
        <v>3228</v>
      </c>
      <c r="M139" s="1">
        <v>49</v>
      </c>
      <c r="N139" s="1">
        <v>0</v>
      </c>
      <c r="O139" s="1">
        <v>0</v>
      </c>
      <c r="P139" s="1">
        <v>1</v>
      </c>
      <c r="Q139" s="1" t="s">
        <v>922</v>
      </c>
      <c r="R139" s="1" t="s">
        <v>923</v>
      </c>
      <c r="S139" s="1" t="s">
        <v>924</v>
      </c>
      <c r="T139" s="1" t="s">
        <v>925</v>
      </c>
      <c r="U139" s="1" t="s">
        <v>48</v>
      </c>
      <c r="V139" s="1">
        <v>11</v>
      </c>
      <c r="W139" s="1">
        <v>2</v>
      </c>
      <c r="X139" s="1" t="s">
        <v>3229</v>
      </c>
      <c r="Y139" s="1" t="str">
        <f>HYPERLINK("http://dx.doi.org/10.14719/pst.2678","http://dx.doi.org/10.14719/pst.2678")</f>
        <v>http://dx.doi.org/10.14719/pst.2678</v>
      </c>
      <c r="Z139" s="1">
        <v>11</v>
      </c>
      <c r="AA139" s="1" t="s">
        <v>426</v>
      </c>
      <c r="AB139" s="1" t="s">
        <v>124</v>
      </c>
      <c r="AC139" s="1" t="s">
        <v>426</v>
      </c>
      <c r="AD139" s="1" t="s">
        <v>48</v>
      </c>
      <c r="AE139" s="1" t="s">
        <v>125</v>
      </c>
    </row>
    <row r="140" spans="1:31" s="1" customFormat="1" ht="18.5" x14ac:dyDescent="0.45">
      <c r="A140" s="1" t="s">
        <v>3248</v>
      </c>
      <c r="B140" s="1" t="s">
        <v>3249</v>
      </c>
      <c r="C140" s="1" t="s">
        <v>3250</v>
      </c>
      <c r="D140" s="1" t="s">
        <v>72</v>
      </c>
      <c r="E140" s="1" t="s">
        <v>53</v>
      </c>
      <c r="F140" s="1" t="s">
        <v>3251</v>
      </c>
      <c r="G140" s="1" t="s">
        <v>3252</v>
      </c>
      <c r="H140" s="1" t="s">
        <v>3253</v>
      </c>
      <c r="I140" s="2">
        <v>2024</v>
      </c>
      <c r="J140" s="1" t="s">
        <v>3254</v>
      </c>
      <c r="K140" s="1" t="s">
        <v>58</v>
      </c>
      <c r="L140" s="1" t="s">
        <v>2606</v>
      </c>
      <c r="M140" s="1">
        <v>75</v>
      </c>
      <c r="N140" s="1">
        <v>17</v>
      </c>
      <c r="O140" s="1">
        <v>24</v>
      </c>
      <c r="P140" s="1">
        <v>64</v>
      </c>
      <c r="Q140" s="1" t="s">
        <v>79</v>
      </c>
      <c r="R140" s="1" t="s">
        <v>80</v>
      </c>
      <c r="S140" s="1" t="s">
        <v>81</v>
      </c>
      <c r="T140" s="1" t="s">
        <v>82</v>
      </c>
      <c r="U140" s="1" t="s">
        <v>83</v>
      </c>
      <c r="V140" s="1">
        <v>259</v>
      </c>
      <c r="W140" s="1" t="s">
        <v>48</v>
      </c>
      <c r="X140" s="1" t="s">
        <v>3255</v>
      </c>
      <c r="Y140" s="1" t="str">
        <f>HYPERLINK("http://dx.doi.org/10.1016/j.ijbiomac.2023.129143","http://dx.doi.org/10.1016/j.ijbiomac.2023.129143")</f>
        <v>http://dx.doi.org/10.1016/j.ijbiomac.2023.129143</v>
      </c>
      <c r="Z140" s="1">
        <v>13</v>
      </c>
      <c r="AA140" s="1" t="s">
        <v>88</v>
      </c>
      <c r="AB140" s="1" t="s">
        <v>67</v>
      </c>
      <c r="AC140" s="1" t="s">
        <v>89</v>
      </c>
      <c r="AD140" s="1">
        <v>38176484</v>
      </c>
      <c r="AE140" s="1" t="s">
        <v>48</v>
      </c>
    </row>
    <row r="141" spans="1:31" s="1" customFormat="1" ht="18.5" x14ac:dyDescent="0.45">
      <c r="A141" s="1" t="s">
        <v>3265</v>
      </c>
      <c r="B141" s="1" t="s">
        <v>3266</v>
      </c>
      <c r="C141" s="1" t="s">
        <v>3267</v>
      </c>
      <c r="D141" s="1" t="s">
        <v>3268</v>
      </c>
      <c r="E141" s="1" t="s">
        <v>53</v>
      </c>
      <c r="F141" s="1" t="s">
        <v>3269</v>
      </c>
      <c r="G141" s="1" t="s">
        <v>3270</v>
      </c>
      <c r="H141" s="1" t="s">
        <v>3271</v>
      </c>
      <c r="I141" s="2">
        <v>2024</v>
      </c>
      <c r="J141" s="1" t="s">
        <v>3272</v>
      </c>
      <c r="K141" s="1" t="s">
        <v>58</v>
      </c>
      <c r="L141" s="1" t="s">
        <v>3273</v>
      </c>
      <c r="M141" s="1">
        <v>58</v>
      </c>
      <c r="N141" s="1">
        <v>4</v>
      </c>
      <c r="O141" s="1">
        <v>4</v>
      </c>
      <c r="P141" s="1">
        <v>15</v>
      </c>
      <c r="Q141" s="1" t="s">
        <v>2719</v>
      </c>
      <c r="R141" s="1" t="s">
        <v>2720</v>
      </c>
      <c r="S141" s="1" t="s">
        <v>2721</v>
      </c>
      <c r="T141" s="1" t="s">
        <v>3274</v>
      </c>
      <c r="U141" s="1" t="s">
        <v>3275</v>
      </c>
      <c r="V141" s="1">
        <v>29</v>
      </c>
      <c r="W141" s="1">
        <v>2</v>
      </c>
      <c r="X141" s="1" t="s">
        <v>3276</v>
      </c>
      <c r="Y141" s="1" t="str">
        <f>HYPERLINK("http://dx.doi.org/10.1057/s41264-022-00203-7","http://dx.doi.org/10.1057/s41264-022-00203-7")</f>
        <v>http://dx.doi.org/10.1057/s41264-022-00203-7</v>
      </c>
      <c r="Z141" s="1">
        <v>13</v>
      </c>
      <c r="AA141" s="1" t="s">
        <v>1630</v>
      </c>
      <c r="AB141" s="1" t="s">
        <v>124</v>
      </c>
      <c r="AC141" s="1" t="s">
        <v>510</v>
      </c>
      <c r="AD141" s="1" t="s">
        <v>48</v>
      </c>
      <c r="AE141" s="1" t="s">
        <v>550</v>
      </c>
    </row>
    <row r="142" spans="1:31" s="1" customFormat="1" ht="18.5" x14ac:dyDescent="0.45">
      <c r="A142" s="1" t="s">
        <v>3293</v>
      </c>
      <c r="B142" s="1" t="s">
        <v>3294</v>
      </c>
      <c r="C142" s="1" t="s">
        <v>3295</v>
      </c>
      <c r="D142" s="1" t="s">
        <v>3296</v>
      </c>
      <c r="E142" s="1" t="s">
        <v>111</v>
      </c>
      <c r="F142" s="1" t="s">
        <v>3297</v>
      </c>
      <c r="G142" s="1" t="s">
        <v>3298</v>
      </c>
      <c r="H142" s="1" t="s">
        <v>3299</v>
      </c>
      <c r="I142" s="2">
        <v>2024</v>
      </c>
      <c r="J142" s="1" t="s">
        <v>3300</v>
      </c>
      <c r="K142" s="1" t="s">
        <v>58</v>
      </c>
      <c r="L142" s="1" t="s">
        <v>3301</v>
      </c>
      <c r="M142" s="1">
        <v>105</v>
      </c>
      <c r="N142" s="1">
        <v>0</v>
      </c>
      <c r="O142" s="1">
        <v>0</v>
      </c>
      <c r="P142" s="1">
        <v>0</v>
      </c>
      <c r="Q142" s="1" t="s">
        <v>347</v>
      </c>
      <c r="R142" s="1" t="s">
        <v>348</v>
      </c>
      <c r="S142" s="1" t="s">
        <v>349</v>
      </c>
      <c r="T142" s="1" t="s">
        <v>3302</v>
      </c>
      <c r="U142" s="1" t="s">
        <v>3303</v>
      </c>
      <c r="V142" s="1" t="s">
        <v>48</v>
      </c>
      <c r="W142" s="1" t="s">
        <v>48</v>
      </c>
      <c r="X142" s="1" t="s">
        <v>3304</v>
      </c>
      <c r="Y142" s="1" t="str">
        <f>HYPERLINK("http://dx.doi.org/10.1002/gj.5080","http://dx.doi.org/10.1002/gj.5080")</f>
        <v>http://dx.doi.org/10.1002/gj.5080</v>
      </c>
      <c r="Z142" s="1">
        <v>21</v>
      </c>
      <c r="AA142" s="1" t="s">
        <v>1670</v>
      </c>
      <c r="AB142" s="1" t="s">
        <v>67</v>
      </c>
      <c r="AC142" s="1" t="s">
        <v>1671</v>
      </c>
      <c r="AD142" s="1" t="s">
        <v>48</v>
      </c>
      <c r="AE142" s="1" t="s">
        <v>48</v>
      </c>
    </row>
    <row r="143" spans="1:31" s="1" customFormat="1" ht="18.5" x14ac:dyDescent="0.45">
      <c r="A143" s="1" t="s">
        <v>3319</v>
      </c>
      <c r="B143" s="1" t="s">
        <v>3320</v>
      </c>
      <c r="C143" s="1" t="s">
        <v>3321</v>
      </c>
      <c r="D143" s="1" t="s">
        <v>3322</v>
      </c>
      <c r="E143" s="1" t="s">
        <v>111</v>
      </c>
      <c r="F143" s="1" t="s">
        <v>3323</v>
      </c>
      <c r="G143" s="1" t="s">
        <v>3324</v>
      </c>
      <c r="H143" s="1" t="s">
        <v>3325</v>
      </c>
      <c r="I143" s="2">
        <v>2024</v>
      </c>
      <c r="J143" s="1" t="s">
        <v>3326</v>
      </c>
      <c r="K143" s="1" t="s">
        <v>58</v>
      </c>
      <c r="L143" s="1" t="s">
        <v>3327</v>
      </c>
      <c r="M143" s="1">
        <v>71</v>
      </c>
      <c r="N143" s="1">
        <v>0</v>
      </c>
      <c r="O143" s="1">
        <v>0</v>
      </c>
      <c r="P143" s="1">
        <v>0</v>
      </c>
      <c r="Q143" s="1" t="s">
        <v>503</v>
      </c>
      <c r="R143" s="1" t="s">
        <v>504</v>
      </c>
      <c r="S143" s="1" t="s">
        <v>505</v>
      </c>
      <c r="T143" s="1" t="s">
        <v>3328</v>
      </c>
      <c r="U143" s="1" t="s">
        <v>3329</v>
      </c>
      <c r="V143" s="1" t="s">
        <v>48</v>
      </c>
      <c r="W143" s="1" t="s">
        <v>48</v>
      </c>
      <c r="X143" s="1" t="s">
        <v>3330</v>
      </c>
      <c r="Y143" s="1" t="str">
        <f>HYPERLINK("http://dx.doi.org/10.1007/s40688-024-00526-3","http://dx.doi.org/10.1007/s40688-024-00526-3")</f>
        <v>http://dx.doi.org/10.1007/s40688-024-00526-3</v>
      </c>
      <c r="Z143" s="1">
        <v>13</v>
      </c>
      <c r="AA143" s="1" t="s">
        <v>3331</v>
      </c>
      <c r="AB143" s="1" t="s">
        <v>124</v>
      </c>
      <c r="AC143" s="1" t="s">
        <v>3332</v>
      </c>
      <c r="AD143" s="1" t="s">
        <v>48</v>
      </c>
      <c r="AE143" s="1" t="s">
        <v>48</v>
      </c>
    </row>
    <row r="144" spans="1:31" s="1" customFormat="1" ht="18.5" x14ac:dyDescent="0.45">
      <c r="A144" s="1" t="s">
        <v>2688</v>
      </c>
      <c r="B144" s="1" t="s">
        <v>2689</v>
      </c>
      <c r="C144" s="1" t="s">
        <v>3333</v>
      </c>
      <c r="D144" s="1" t="s">
        <v>3334</v>
      </c>
      <c r="E144" s="1" t="s">
        <v>53</v>
      </c>
      <c r="F144" s="1" t="s">
        <v>3335</v>
      </c>
      <c r="G144" s="1" t="s">
        <v>3336</v>
      </c>
      <c r="H144" s="1" t="s">
        <v>3337</v>
      </c>
      <c r="I144" s="2">
        <v>2024</v>
      </c>
      <c r="J144" s="1" t="s">
        <v>3338</v>
      </c>
      <c r="K144" s="1" t="s">
        <v>58</v>
      </c>
      <c r="L144" s="1" t="s">
        <v>3339</v>
      </c>
      <c r="M144" s="1">
        <v>38</v>
      </c>
      <c r="N144" s="1">
        <v>0</v>
      </c>
      <c r="O144" s="1">
        <v>1</v>
      </c>
      <c r="P144" s="1">
        <v>2</v>
      </c>
      <c r="Q144" s="1" t="s">
        <v>3340</v>
      </c>
      <c r="R144" s="1" t="s">
        <v>471</v>
      </c>
      <c r="S144" s="1" t="s">
        <v>3341</v>
      </c>
      <c r="T144" s="1" t="s">
        <v>3342</v>
      </c>
      <c r="U144" s="1" t="s">
        <v>3343</v>
      </c>
      <c r="V144" s="1">
        <v>44</v>
      </c>
      <c r="W144" s="1">
        <v>3</v>
      </c>
      <c r="X144" s="1" t="s">
        <v>3344</v>
      </c>
      <c r="Y144" s="1" t="str">
        <f>HYPERLINK("http://dx.doi.org/10.14429/djlit.44.03.19554","http://dx.doi.org/10.14429/djlit.44.03.19554")</f>
        <v>http://dx.doi.org/10.14429/djlit.44.03.19554</v>
      </c>
      <c r="Z144" s="1">
        <v>10</v>
      </c>
      <c r="AA144" s="1" t="s">
        <v>1158</v>
      </c>
      <c r="AB144" s="1" t="s">
        <v>124</v>
      </c>
      <c r="AC144" s="1" t="s">
        <v>1158</v>
      </c>
      <c r="AD144" s="1" t="s">
        <v>48</v>
      </c>
      <c r="AE144" s="1" t="s">
        <v>48</v>
      </c>
    </row>
    <row r="145" spans="1:31" s="1" customFormat="1" ht="18.5" x14ac:dyDescent="0.45">
      <c r="A145" s="1" t="s">
        <v>3345</v>
      </c>
      <c r="B145" s="1" t="s">
        <v>3346</v>
      </c>
      <c r="C145" s="1" t="s">
        <v>3347</v>
      </c>
      <c r="D145" s="1" t="s">
        <v>3348</v>
      </c>
      <c r="E145" s="1" t="s">
        <v>53</v>
      </c>
      <c r="F145" s="1" t="s">
        <v>3349</v>
      </c>
      <c r="G145" s="1" t="s">
        <v>3350</v>
      </c>
      <c r="H145" s="1" t="s">
        <v>3351</v>
      </c>
      <c r="I145" s="2">
        <v>2024</v>
      </c>
      <c r="J145" s="1" t="s">
        <v>3352</v>
      </c>
      <c r="K145" s="1" t="s">
        <v>58</v>
      </c>
      <c r="L145" s="1" t="s">
        <v>3353</v>
      </c>
      <c r="M145" s="1">
        <v>111</v>
      </c>
      <c r="N145" s="1">
        <v>2</v>
      </c>
      <c r="O145" s="1">
        <v>6</v>
      </c>
      <c r="P145" s="1">
        <v>9</v>
      </c>
      <c r="Q145" s="1" t="s">
        <v>60</v>
      </c>
      <c r="R145" s="1" t="s">
        <v>61</v>
      </c>
      <c r="S145" s="1" t="s">
        <v>62</v>
      </c>
      <c r="T145" s="1" t="s">
        <v>3354</v>
      </c>
      <c r="U145" s="1" t="s">
        <v>3355</v>
      </c>
      <c r="V145" s="1">
        <v>12</v>
      </c>
      <c r="W145" s="1">
        <v>2</v>
      </c>
      <c r="X145" s="1" t="s">
        <v>3356</v>
      </c>
      <c r="Y145" s="1" t="str">
        <f>HYPERLINK("http://dx.doi.org/10.1016/j.jece.2024.112295","http://dx.doi.org/10.1016/j.jece.2024.112295")</f>
        <v>http://dx.doi.org/10.1016/j.jece.2024.112295</v>
      </c>
      <c r="Z145" s="1">
        <v>15</v>
      </c>
      <c r="AA145" s="1" t="s">
        <v>3357</v>
      </c>
      <c r="AB145" s="1" t="s">
        <v>67</v>
      </c>
      <c r="AC145" s="1" t="s">
        <v>1733</v>
      </c>
      <c r="AD145" s="1" t="s">
        <v>48</v>
      </c>
      <c r="AE145" s="1" t="s">
        <v>48</v>
      </c>
    </row>
    <row r="146" spans="1:31" s="1" customFormat="1" ht="18.5" x14ac:dyDescent="0.45">
      <c r="A146" s="1" t="s">
        <v>139</v>
      </c>
      <c r="B146" s="1" t="s">
        <v>140</v>
      </c>
      <c r="C146" s="1" t="s">
        <v>3380</v>
      </c>
      <c r="D146" s="1" t="s">
        <v>3381</v>
      </c>
      <c r="E146" s="1" t="s">
        <v>53</v>
      </c>
      <c r="F146" s="1" t="s">
        <v>3382</v>
      </c>
      <c r="G146" s="1" t="s">
        <v>48</v>
      </c>
      <c r="H146" s="1" t="s">
        <v>3383</v>
      </c>
      <c r="I146" s="2">
        <v>2024</v>
      </c>
      <c r="J146" s="1" t="s">
        <v>3384</v>
      </c>
      <c r="K146" s="1" t="s">
        <v>3385</v>
      </c>
      <c r="L146" s="1" t="s">
        <v>3386</v>
      </c>
      <c r="M146" s="1">
        <v>32</v>
      </c>
      <c r="N146" s="1">
        <v>3</v>
      </c>
      <c r="O146" s="1">
        <v>0</v>
      </c>
      <c r="P146" s="1">
        <v>2</v>
      </c>
      <c r="Q146" s="1" t="s">
        <v>958</v>
      </c>
      <c r="R146" s="1" t="s">
        <v>632</v>
      </c>
      <c r="S146" s="1" t="s">
        <v>959</v>
      </c>
      <c r="T146" s="1" t="s">
        <v>3387</v>
      </c>
      <c r="U146" s="1" t="s">
        <v>3388</v>
      </c>
      <c r="V146" s="1">
        <v>9</v>
      </c>
      <c r="W146" s="1">
        <v>3</v>
      </c>
      <c r="X146" s="1" t="s">
        <v>3391</v>
      </c>
      <c r="Y146" s="1" t="str">
        <f>HYPERLINK("http://dx.doi.org/10.1177/20578911231186858","http://dx.doi.org/10.1177/20578911231186858")</f>
        <v>http://dx.doi.org/10.1177/20578911231186858</v>
      </c>
      <c r="Z146" s="1">
        <v>13</v>
      </c>
      <c r="AA146" s="1" t="s">
        <v>732</v>
      </c>
      <c r="AB146" s="1" t="s">
        <v>124</v>
      </c>
      <c r="AC146" s="1" t="s">
        <v>733</v>
      </c>
      <c r="AD146" s="1" t="s">
        <v>48</v>
      </c>
      <c r="AE146" s="1" t="s">
        <v>48</v>
      </c>
    </row>
    <row r="147" spans="1:31" s="1" customFormat="1" ht="18.5" x14ac:dyDescent="0.45">
      <c r="A147" s="1" t="s">
        <v>3392</v>
      </c>
      <c r="B147" s="1" t="s">
        <v>3393</v>
      </c>
      <c r="C147" s="1" t="s">
        <v>3394</v>
      </c>
      <c r="D147" s="1" t="s">
        <v>3395</v>
      </c>
      <c r="E147" s="1" t="s">
        <v>53</v>
      </c>
      <c r="F147" s="1" t="s">
        <v>3396</v>
      </c>
      <c r="G147" s="1" t="s">
        <v>3397</v>
      </c>
      <c r="H147" s="1" t="s">
        <v>3398</v>
      </c>
      <c r="I147" s="2">
        <v>2024</v>
      </c>
      <c r="J147" s="1" t="s">
        <v>3399</v>
      </c>
      <c r="K147" s="1" t="s">
        <v>58</v>
      </c>
      <c r="L147" s="1" t="s">
        <v>529</v>
      </c>
      <c r="M147" s="1">
        <v>63</v>
      </c>
      <c r="N147" s="1">
        <v>10</v>
      </c>
      <c r="O147" s="1">
        <v>0</v>
      </c>
      <c r="P147" s="1">
        <v>4</v>
      </c>
      <c r="Q147" s="1" t="s">
        <v>145</v>
      </c>
      <c r="R147" s="1" t="s">
        <v>146</v>
      </c>
      <c r="S147" s="1" t="s">
        <v>147</v>
      </c>
      <c r="T147" s="1" t="s">
        <v>3400</v>
      </c>
      <c r="U147" s="1" t="s">
        <v>3401</v>
      </c>
      <c r="V147" s="1">
        <v>17</v>
      </c>
      <c r="W147" s="1">
        <v>1</v>
      </c>
      <c r="X147" s="1" t="s">
        <v>3402</v>
      </c>
      <c r="Y147" s="1" t="str">
        <f>HYPERLINK("http://dx.doi.org/10.1080/17520843.2023.2211380","http://dx.doi.org/10.1080/17520843.2023.2211380")</f>
        <v>http://dx.doi.org/10.1080/17520843.2023.2211380</v>
      </c>
      <c r="Z147" s="1">
        <v>26</v>
      </c>
      <c r="AA147" s="1" t="s">
        <v>509</v>
      </c>
      <c r="AB147" s="1" t="s">
        <v>124</v>
      </c>
      <c r="AC147" s="1" t="s">
        <v>510</v>
      </c>
      <c r="AD147" s="1" t="s">
        <v>48</v>
      </c>
      <c r="AE147" s="1" t="s">
        <v>48</v>
      </c>
    </row>
    <row r="148" spans="1:31" s="1" customFormat="1" ht="18.5" x14ac:dyDescent="0.45">
      <c r="A148" s="1" t="s">
        <v>3412</v>
      </c>
      <c r="B148" s="1" t="s">
        <v>3413</v>
      </c>
      <c r="C148" s="1" t="s">
        <v>3414</v>
      </c>
      <c r="D148" s="1" t="s">
        <v>1520</v>
      </c>
      <c r="E148" s="1" t="s">
        <v>53</v>
      </c>
      <c r="F148" s="1" t="s">
        <v>3415</v>
      </c>
      <c r="G148" s="1" t="s">
        <v>3416</v>
      </c>
      <c r="H148" s="1" t="s">
        <v>3417</v>
      </c>
      <c r="I148" s="2">
        <v>2024</v>
      </c>
      <c r="J148" s="1" t="s">
        <v>3418</v>
      </c>
      <c r="K148" s="1" t="s">
        <v>58</v>
      </c>
      <c r="L148" s="1" t="s">
        <v>1862</v>
      </c>
      <c r="M148" s="1">
        <v>35</v>
      </c>
      <c r="N148" s="1">
        <v>0</v>
      </c>
      <c r="O148" s="1">
        <v>3</v>
      </c>
      <c r="P148" s="1">
        <v>3</v>
      </c>
      <c r="Q148" s="1" t="s">
        <v>1523</v>
      </c>
      <c r="R148" s="1" t="s">
        <v>632</v>
      </c>
      <c r="S148" s="1" t="s">
        <v>1524</v>
      </c>
      <c r="T148" s="1" t="s">
        <v>1525</v>
      </c>
      <c r="U148" s="1" t="s">
        <v>1526</v>
      </c>
      <c r="V148" s="1">
        <v>4</v>
      </c>
      <c r="W148" s="1">
        <v>3</v>
      </c>
      <c r="X148" s="1" t="s">
        <v>3419</v>
      </c>
      <c r="Y148" s="1" t="str">
        <f>HYPERLINK("http://dx.doi.org/10.1007/s43393-024-00257-9","http://dx.doi.org/10.1007/s43393-024-00257-9")</f>
        <v>http://dx.doi.org/10.1007/s43393-024-00257-9</v>
      </c>
      <c r="Z148" s="1">
        <v>12</v>
      </c>
      <c r="AA148" s="1" t="s">
        <v>1528</v>
      </c>
      <c r="AB148" s="1" t="s">
        <v>124</v>
      </c>
      <c r="AC148" s="1" t="s">
        <v>1528</v>
      </c>
      <c r="AD148" s="1" t="s">
        <v>48</v>
      </c>
      <c r="AE148" s="1" t="s">
        <v>48</v>
      </c>
    </row>
    <row r="149" spans="1:31" s="1" customFormat="1" ht="18.5" x14ac:dyDescent="0.45">
      <c r="A149" s="1" t="s">
        <v>3458</v>
      </c>
      <c r="B149" s="1" t="s">
        <v>3459</v>
      </c>
      <c r="C149" s="1" t="s">
        <v>3460</v>
      </c>
      <c r="D149" s="1" t="s">
        <v>2205</v>
      </c>
      <c r="E149" s="1" t="s">
        <v>111</v>
      </c>
      <c r="F149" s="1" t="s">
        <v>3461</v>
      </c>
      <c r="G149" s="1" t="s">
        <v>3462</v>
      </c>
      <c r="H149" s="1" t="s">
        <v>3463</v>
      </c>
      <c r="I149" s="2">
        <v>2024</v>
      </c>
      <c r="J149" s="1" t="s">
        <v>3464</v>
      </c>
      <c r="K149" s="1" t="s">
        <v>58</v>
      </c>
      <c r="L149" s="1" t="s">
        <v>3465</v>
      </c>
      <c r="M149" s="1">
        <v>85</v>
      </c>
      <c r="N149" s="1">
        <v>0</v>
      </c>
      <c r="O149" s="1">
        <v>5</v>
      </c>
      <c r="P149" s="1">
        <v>5</v>
      </c>
      <c r="Q149" s="1" t="s">
        <v>503</v>
      </c>
      <c r="R149" s="1" t="s">
        <v>504</v>
      </c>
      <c r="S149" s="1" t="s">
        <v>505</v>
      </c>
      <c r="T149" s="1" t="s">
        <v>2207</v>
      </c>
      <c r="U149" s="1" t="s">
        <v>2208</v>
      </c>
      <c r="V149" s="1" t="s">
        <v>48</v>
      </c>
      <c r="W149" s="1" t="s">
        <v>48</v>
      </c>
      <c r="X149" s="1" t="s">
        <v>3466</v>
      </c>
      <c r="Y149" s="1" t="str">
        <f>HYPERLINK("http://dx.doi.org/10.1007/s12524-024-02072-0","http://dx.doi.org/10.1007/s12524-024-02072-0")</f>
        <v>http://dx.doi.org/10.1007/s12524-024-02072-0</v>
      </c>
      <c r="Z149" s="1">
        <v>18</v>
      </c>
      <c r="AA149" s="1" t="s">
        <v>1896</v>
      </c>
      <c r="AB149" s="1" t="s">
        <v>67</v>
      </c>
      <c r="AC149" s="1" t="s">
        <v>1897</v>
      </c>
      <c r="AD149" s="1" t="s">
        <v>48</v>
      </c>
      <c r="AE149" s="1" t="s">
        <v>48</v>
      </c>
    </row>
    <row r="150" spans="1:31" s="1" customFormat="1" ht="18.5" x14ac:dyDescent="0.45">
      <c r="A150" s="1" t="s">
        <v>3467</v>
      </c>
      <c r="B150" s="1" t="s">
        <v>3468</v>
      </c>
      <c r="C150" s="1" t="s">
        <v>3469</v>
      </c>
      <c r="D150" s="1" t="s">
        <v>3470</v>
      </c>
      <c r="E150" s="1" t="s">
        <v>53</v>
      </c>
      <c r="F150" s="1" t="s">
        <v>3471</v>
      </c>
      <c r="G150" s="1" t="s">
        <v>3472</v>
      </c>
      <c r="H150" s="1" t="s">
        <v>3473</v>
      </c>
      <c r="I150" s="2">
        <v>2024</v>
      </c>
      <c r="J150" s="1" t="s">
        <v>3474</v>
      </c>
      <c r="K150" s="1" t="s">
        <v>3475</v>
      </c>
      <c r="L150" s="1" t="s">
        <v>3476</v>
      </c>
      <c r="M150" s="1">
        <v>56</v>
      </c>
      <c r="N150" s="1">
        <v>0</v>
      </c>
      <c r="O150" s="1">
        <v>3</v>
      </c>
      <c r="P150" s="1">
        <v>3</v>
      </c>
      <c r="Q150" s="1" t="s">
        <v>2989</v>
      </c>
      <c r="R150" s="1" t="s">
        <v>2990</v>
      </c>
      <c r="S150" s="1" t="s">
        <v>2991</v>
      </c>
      <c r="T150" s="1" t="s">
        <v>3477</v>
      </c>
      <c r="U150" s="1" t="s">
        <v>48</v>
      </c>
      <c r="V150" s="1">
        <v>9</v>
      </c>
      <c r="W150" s="1">
        <v>42</v>
      </c>
      <c r="X150" s="1" t="s">
        <v>3479</v>
      </c>
      <c r="Y150" s="1" t="str">
        <f>HYPERLINK("http://dx.doi.org/10.1002/slct.202403559","http://dx.doi.org/10.1002/slct.202403559")</f>
        <v>http://dx.doi.org/10.1002/slct.202403559</v>
      </c>
      <c r="Z150" s="1">
        <v>7</v>
      </c>
      <c r="AA150" s="1" t="s">
        <v>2292</v>
      </c>
      <c r="AB150" s="1" t="s">
        <v>67</v>
      </c>
      <c r="AC150" s="1" t="s">
        <v>2293</v>
      </c>
      <c r="AD150" s="1" t="s">
        <v>48</v>
      </c>
      <c r="AE150" s="1" t="s">
        <v>550</v>
      </c>
    </row>
    <row r="151" spans="1:31" s="1" customFormat="1" ht="18.5" x14ac:dyDescent="0.45">
      <c r="A151" s="1" t="s">
        <v>3480</v>
      </c>
      <c r="B151" s="1" t="s">
        <v>3481</v>
      </c>
      <c r="C151" s="1" t="s">
        <v>3482</v>
      </c>
      <c r="D151" s="1" t="s">
        <v>3483</v>
      </c>
      <c r="E151" s="1" t="s">
        <v>53</v>
      </c>
      <c r="F151" s="1" t="s">
        <v>48</v>
      </c>
      <c r="G151" s="1" t="s">
        <v>3484</v>
      </c>
      <c r="H151" s="1" t="s">
        <v>3485</v>
      </c>
      <c r="I151" s="2">
        <v>2024</v>
      </c>
      <c r="J151" s="1" t="s">
        <v>3486</v>
      </c>
      <c r="K151" s="1" t="s">
        <v>3487</v>
      </c>
      <c r="L151" s="1" t="s">
        <v>3488</v>
      </c>
      <c r="M151" s="1">
        <v>54</v>
      </c>
      <c r="N151" s="1">
        <v>0</v>
      </c>
      <c r="O151" s="1">
        <v>0</v>
      </c>
      <c r="P151" s="1">
        <v>0</v>
      </c>
      <c r="Q151" s="1" t="s">
        <v>3489</v>
      </c>
      <c r="R151" s="1" t="s">
        <v>3490</v>
      </c>
      <c r="S151" s="1" t="s">
        <v>3491</v>
      </c>
      <c r="T151" s="1" t="s">
        <v>3492</v>
      </c>
      <c r="U151" s="1" t="s">
        <v>48</v>
      </c>
      <c r="V151" s="1">
        <v>32</v>
      </c>
      <c r="W151" s="1" t="s">
        <v>48</v>
      </c>
      <c r="X151" s="1" t="s">
        <v>3493</v>
      </c>
      <c r="Y151" s="1" t="str">
        <f>HYPERLINK("http://dx.doi.org/10.14796/JWMM.H520","http://dx.doi.org/10.14796/JWMM.H520")</f>
        <v>http://dx.doi.org/10.14796/JWMM.H520</v>
      </c>
      <c r="Z151" s="1">
        <v>26</v>
      </c>
      <c r="AA151" s="1" t="s">
        <v>205</v>
      </c>
      <c r="AB151" s="1" t="s">
        <v>124</v>
      </c>
      <c r="AC151" s="1" t="s">
        <v>205</v>
      </c>
      <c r="AD151" s="1" t="s">
        <v>48</v>
      </c>
      <c r="AE151" s="1" t="s">
        <v>125</v>
      </c>
    </row>
    <row r="152" spans="1:31" s="1" customFormat="1" ht="18.5" x14ac:dyDescent="0.45">
      <c r="A152" s="1" t="s">
        <v>3533</v>
      </c>
      <c r="B152" s="1" t="s">
        <v>3534</v>
      </c>
      <c r="C152" s="1" t="s">
        <v>3535</v>
      </c>
      <c r="D152" s="1" t="s">
        <v>3536</v>
      </c>
      <c r="E152" s="1" t="s">
        <v>53</v>
      </c>
      <c r="F152" s="1" t="s">
        <v>3537</v>
      </c>
      <c r="G152" s="1" t="s">
        <v>3538</v>
      </c>
      <c r="H152" s="1" t="s">
        <v>3539</v>
      </c>
      <c r="I152" s="2">
        <v>2024</v>
      </c>
      <c r="J152" s="1" t="s">
        <v>3540</v>
      </c>
      <c r="K152" s="1" t="s">
        <v>3541</v>
      </c>
      <c r="L152" s="1" t="s">
        <v>970</v>
      </c>
      <c r="M152" s="1">
        <v>93</v>
      </c>
      <c r="N152" s="1">
        <v>0</v>
      </c>
      <c r="O152" s="1">
        <v>2</v>
      </c>
      <c r="P152" s="1">
        <v>6</v>
      </c>
      <c r="Q152" s="1" t="s">
        <v>145</v>
      </c>
      <c r="R152" s="1" t="s">
        <v>146</v>
      </c>
      <c r="S152" s="1" t="s">
        <v>147</v>
      </c>
      <c r="T152" s="1" t="s">
        <v>3542</v>
      </c>
      <c r="U152" s="1" t="s">
        <v>3543</v>
      </c>
      <c r="V152" s="1">
        <v>32</v>
      </c>
      <c r="W152" s="1">
        <v>1</v>
      </c>
      <c r="X152" s="1" t="s">
        <v>3544</v>
      </c>
      <c r="Y152" s="1" t="str">
        <f>HYPERLINK("http://dx.doi.org/10.1080/02185377.2024.2351384","http://dx.doi.org/10.1080/02185377.2024.2351384")</f>
        <v>http://dx.doi.org/10.1080/02185377.2024.2351384</v>
      </c>
      <c r="Z152" s="1">
        <v>21</v>
      </c>
      <c r="AA152" s="1" t="s">
        <v>732</v>
      </c>
      <c r="AB152" s="1" t="s">
        <v>124</v>
      </c>
      <c r="AC152" s="1" t="s">
        <v>733</v>
      </c>
      <c r="AD152" s="1" t="s">
        <v>48</v>
      </c>
      <c r="AE152" s="1" t="s">
        <v>48</v>
      </c>
    </row>
    <row r="153" spans="1:31" s="1" customFormat="1" ht="18.5" x14ac:dyDescent="0.45">
      <c r="A153" s="1" t="s">
        <v>3566</v>
      </c>
      <c r="B153" s="1" t="s">
        <v>3567</v>
      </c>
      <c r="C153" s="1" t="s">
        <v>3568</v>
      </c>
      <c r="D153" s="1" t="s">
        <v>3569</v>
      </c>
      <c r="E153" s="1" t="s">
        <v>53</v>
      </c>
      <c r="F153" s="1" t="s">
        <v>3570</v>
      </c>
      <c r="G153" s="1" t="s">
        <v>48</v>
      </c>
      <c r="H153" s="1" t="s">
        <v>3571</v>
      </c>
      <c r="I153" s="2">
        <v>2024</v>
      </c>
      <c r="J153" s="1" t="s">
        <v>3572</v>
      </c>
      <c r="K153" s="1" t="s">
        <v>3520</v>
      </c>
      <c r="L153" s="1" t="s">
        <v>3573</v>
      </c>
      <c r="M153" s="1">
        <v>47</v>
      </c>
      <c r="N153" s="1">
        <v>0</v>
      </c>
      <c r="O153" s="1">
        <v>2</v>
      </c>
      <c r="P153" s="1">
        <v>2</v>
      </c>
      <c r="Q153" s="1" t="s">
        <v>266</v>
      </c>
      <c r="R153" s="1" t="s">
        <v>267</v>
      </c>
      <c r="S153" s="1" t="s">
        <v>268</v>
      </c>
      <c r="T153" s="1" t="s">
        <v>3574</v>
      </c>
      <c r="U153" s="1" t="s">
        <v>3575</v>
      </c>
      <c r="V153" s="1">
        <v>104</v>
      </c>
      <c r="W153" s="1" t="s">
        <v>48</v>
      </c>
      <c r="X153" s="1" t="s">
        <v>3576</v>
      </c>
      <c r="Y153" s="1" t="str">
        <f>HYPERLINK("http://dx.doi.org/10.1016/j.jvcir.2024.104299","http://dx.doi.org/10.1016/j.jvcir.2024.104299")</f>
        <v>http://dx.doi.org/10.1016/j.jvcir.2024.104299</v>
      </c>
      <c r="Z153" s="1">
        <v>17</v>
      </c>
      <c r="AA153" s="1" t="s">
        <v>3577</v>
      </c>
      <c r="AB153" s="1" t="s">
        <v>67</v>
      </c>
      <c r="AC153" s="1" t="s">
        <v>292</v>
      </c>
      <c r="AD153" s="1" t="s">
        <v>48</v>
      </c>
      <c r="AE153" s="1" t="s">
        <v>48</v>
      </c>
    </row>
    <row r="154" spans="1:31" s="1" customFormat="1" ht="18.5" x14ac:dyDescent="0.45">
      <c r="A154" s="1" t="s">
        <v>3627</v>
      </c>
      <c r="B154" s="1" t="s">
        <v>3628</v>
      </c>
      <c r="C154" s="1" t="s">
        <v>3629</v>
      </c>
      <c r="D154" s="1" t="s">
        <v>3630</v>
      </c>
      <c r="E154" s="1" t="s">
        <v>53</v>
      </c>
      <c r="F154" s="1" t="s">
        <v>3631</v>
      </c>
      <c r="G154" s="1" t="s">
        <v>3632</v>
      </c>
      <c r="H154" s="1" t="s">
        <v>3633</v>
      </c>
      <c r="I154" s="2">
        <v>2024</v>
      </c>
      <c r="J154" s="1" t="s">
        <v>3634</v>
      </c>
      <c r="K154" s="1" t="s">
        <v>58</v>
      </c>
      <c r="L154" s="1" t="s">
        <v>3635</v>
      </c>
      <c r="M154" s="1">
        <v>87</v>
      </c>
      <c r="N154" s="1">
        <v>0</v>
      </c>
      <c r="O154" s="1">
        <v>3</v>
      </c>
      <c r="P154" s="1">
        <v>16</v>
      </c>
      <c r="Q154" s="1" t="s">
        <v>503</v>
      </c>
      <c r="R154" s="1" t="s">
        <v>504</v>
      </c>
      <c r="S154" s="1" t="s">
        <v>505</v>
      </c>
      <c r="T154" s="1" t="s">
        <v>3636</v>
      </c>
      <c r="U154" s="1" t="s">
        <v>3637</v>
      </c>
      <c r="V154" s="1">
        <v>54</v>
      </c>
      <c r="W154" s="1">
        <v>2</v>
      </c>
      <c r="X154" s="1" t="s">
        <v>3638</v>
      </c>
      <c r="Y154" s="1" t="str">
        <f>HYPERLINK("http://dx.doi.org/10.1007/s13538-024-01433-x","http://dx.doi.org/10.1007/s13538-024-01433-x")</f>
        <v>http://dx.doi.org/10.1007/s13538-024-01433-x</v>
      </c>
      <c r="Z154" s="1">
        <v>12</v>
      </c>
      <c r="AA154" s="1" t="s">
        <v>669</v>
      </c>
      <c r="AB154" s="1" t="s">
        <v>67</v>
      </c>
      <c r="AC154" s="1" t="s">
        <v>670</v>
      </c>
      <c r="AD154" s="1" t="s">
        <v>48</v>
      </c>
      <c r="AE154" s="1" t="s">
        <v>48</v>
      </c>
    </row>
    <row r="155" spans="1:31" s="1" customFormat="1" ht="18.5" x14ac:dyDescent="0.45">
      <c r="A155" s="1" t="s">
        <v>3651</v>
      </c>
      <c r="B155" s="1" t="s">
        <v>3652</v>
      </c>
      <c r="C155" s="1" t="s">
        <v>3653</v>
      </c>
      <c r="D155" s="1" t="s">
        <v>3654</v>
      </c>
      <c r="E155" s="1" t="s">
        <v>53</v>
      </c>
      <c r="F155" s="1" t="s">
        <v>3655</v>
      </c>
      <c r="G155" s="1" t="s">
        <v>3656</v>
      </c>
      <c r="H155" s="1" t="s">
        <v>3657</v>
      </c>
      <c r="I155" s="2">
        <v>2024</v>
      </c>
      <c r="J155" s="1" t="s">
        <v>3658</v>
      </c>
      <c r="K155" s="1" t="s">
        <v>3475</v>
      </c>
      <c r="L155" s="1" t="s">
        <v>3659</v>
      </c>
      <c r="M155" s="1">
        <v>56</v>
      </c>
      <c r="N155" s="1">
        <v>8</v>
      </c>
      <c r="O155" s="1">
        <v>3</v>
      </c>
      <c r="P155" s="1">
        <v>15</v>
      </c>
      <c r="Q155" s="1" t="s">
        <v>1183</v>
      </c>
      <c r="R155" s="1" t="s">
        <v>1184</v>
      </c>
      <c r="S155" s="1" t="s">
        <v>1185</v>
      </c>
      <c r="T155" s="1" t="s">
        <v>48</v>
      </c>
      <c r="U155" s="1" t="s">
        <v>3660</v>
      </c>
      <c r="V155" s="1">
        <v>7</v>
      </c>
      <c r="W155" s="1">
        <v>6</v>
      </c>
      <c r="X155" s="1" t="s">
        <v>3661</v>
      </c>
      <c r="Y155" s="1" t="str">
        <f>HYPERLINK("http://dx.doi.org/10.1021/acsanm.4c00282","http://dx.doi.org/10.1021/acsanm.4c00282")</f>
        <v>http://dx.doi.org/10.1021/acsanm.4c00282</v>
      </c>
      <c r="Z155" s="1">
        <v>9</v>
      </c>
      <c r="AA155" s="1" t="s">
        <v>3662</v>
      </c>
      <c r="AB155" s="1" t="s">
        <v>67</v>
      </c>
      <c r="AC155" s="1" t="s">
        <v>3663</v>
      </c>
      <c r="AD155" s="1" t="s">
        <v>48</v>
      </c>
      <c r="AE155" s="1" t="s">
        <v>48</v>
      </c>
    </row>
    <row r="156" spans="1:31" s="1" customFormat="1" ht="18.5" x14ac:dyDescent="0.45">
      <c r="A156" s="1" t="s">
        <v>3713</v>
      </c>
      <c r="B156" s="1" t="s">
        <v>3714</v>
      </c>
      <c r="C156" s="1" t="s">
        <v>3715</v>
      </c>
      <c r="D156" s="1" t="s">
        <v>3716</v>
      </c>
      <c r="E156" s="1" t="s">
        <v>53</v>
      </c>
      <c r="F156" s="1" t="s">
        <v>3717</v>
      </c>
      <c r="G156" s="1" t="s">
        <v>3718</v>
      </c>
      <c r="H156" s="1" t="s">
        <v>3719</v>
      </c>
      <c r="I156" s="2">
        <v>2024</v>
      </c>
      <c r="J156" s="1" t="s">
        <v>3720</v>
      </c>
      <c r="K156" s="1" t="s">
        <v>3499</v>
      </c>
      <c r="L156" s="1" t="s">
        <v>3721</v>
      </c>
      <c r="M156" s="1">
        <v>50</v>
      </c>
      <c r="N156" s="1">
        <v>3</v>
      </c>
      <c r="O156" s="1">
        <v>2</v>
      </c>
      <c r="P156" s="1">
        <v>4</v>
      </c>
      <c r="Q156" s="1" t="s">
        <v>1168</v>
      </c>
      <c r="R156" s="1" t="s">
        <v>504</v>
      </c>
      <c r="S156" s="1" t="s">
        <v>1169</v>
      </c>
      <c r="T156" s="1" t="s">
        <v>3722</v>
      </c>
      <c r="U156" s="1" t="s">
        <v>3723</v>
      </c>
      <c r="V156" s="1">
        <v>108</v>
      </c>
      <c r="W156" s="1" t="s">
        <v>48</v>
      </c>
      <c r="X156" s="1" t="s">
        <v>3724</v>
      </c>
      <c r="Y156" s="1" t="str">
        <f>HYPERLINK("http://dx.doi.org/10.1016/j.ijheatfluidflow.2024.109443","http://dx.doi.org/10.1016/j.ijheatfluidflow.2024.109443")</f>
        <v>http://dx.doi.org/10.1016/j.ijheatfluidflow.2024.109443</v>
      </c>
      <c r="Z156" s="1">
        <v>18</v>
      </c>
      <c r="AA156" s="1" t="s">
        <v>2474</v>
      </c>
      <c r="AB156" s="1" t="s">
        <v>67</v>
      </c>
      <c r="AC156" s="1" t="s">
        <v>2475</v>
      </c>
      <c r="AD156" s="1" t="s">
        <v>48</v>
      </c>
      <c r="AE156" s="1" t="s">
        <v>48</v>
      </c>
    </row>
    <row r="157" spans="1:31" s="1" customFormat="1" ht="18.5" x14ac:dyDescent="0.45">
      <c r="A157" s="1" t="s">
        <v>3766</v>
      </c>
      <c r="B157" s="1" t="s">
        <v>3767</v>
      </c>
      <c r="C157" s="1" t="s">
        <v>3768</v>
      </c>
      <c r="D157" s="1" t="s">
        <v>3769</v>
      </c>
      <c r="E157" s="1" t="s">
        <v>53</v>
      </c>
      <c r="F157" s="1" t="s">
        <v>3770</v>
      </c>
      <c r="G157" s="1" t="s">
        <v>2344</v>
      </c>
      <c r="H157" s="1" t="s">
        <v>3771</v>
      </c>
      <c r="I157" s="2">
        <v>2024</v>
      </c>
      <c r="J157" s="1" t="s">
        <v>3772</v>
      </c>
      <c r="K157" s="1" t="s">
        <v>3520</v>
      </c>
      <c r="L157" s="1" t="s">
        <v>3773</v>
      </c>
      <c r="M157" s="1">
        <v>39</v>
      </c>
      <c r="N157" s="1">
        <v>0</v>
      </c>
      <c r="O157" s="1">
        <v>1</v>
      </c>
      <c r="P157" s="1">
        <v>1</v>
      </c>
      <c r="Q157" s="1" t="s">
        <v>3774</v>
      </c>
      <c r="R157" s="1" t="s">
        <v>3775</v>
      </c>
      <c r="S157" s="1" t="s">
        <v>3776</v>
      </c>
      <c r="T157" s="1" t="s">
        <v>3777</v>
      </c>
      <c r="U157" s="1" t="s">
        <v>3778</v>
      </c>
      <c r="V157" s="1">
        <v>33</v>
      </c>
      <c r="W157" s="1">
        <v>5</v>
      </c>
      <c r="X157" s="1" t="s">
        <v>3780</v>
      </c>
      <c r="Y157" s="1" t="str">
        <f>HYPERLINK("http://dx.doi.org/10.1117/1.JEI.33.5.053025","http://dx.doi.org/10.1117/1.JEI.33.5.053025")</f>
        <v>http://dx.doi.org/10.1117/1.JEI.33.5.053025</v>
      </c>
      <c r="Z157" s="1">
        <v>18</v>
      </c>
      <c r="AA157" s="1" t="s">
        <v>3781</v>
      </c>
      <c r="AB157" s="1" t="s">
        <v>67</v>
      </c>
      <c r="AC157" s="1" t="s">
        <v>3782</v>
      </c>
      <c r="AD157" s="1" t="s">
        <v>48</v>
      </c>
      <c r="AE157" s="1" t="s">
        <v>48</v>
      </c>
    </row>
    <row r="158" spans="1:31" s="1" customFormat="1" ht="18.5" x14ac:dyDescent="0.45">
      <c r="A158" s="1" t="s">
        <v>3783</v>
      </c>
      <c r="B158" s="1" t="s">
        <v>3784</v>
      </c>
      <c r="C158" s="1" t="s">
        <v>3785</v>
      </c>
      <c r="D158" s="1" t="s">
        <v>3786</v>
      </c>
      <c r="E158" s="1" t="s">
        <v>53</v>
      </c>
      <c r="F158" s="1" t="s">
        <v>3787</v>
      </c>
      <c r="G158" s="1" t="s">
        <v>3788</v>
      </c>
      <c r="H158" s="1" t="s">
        <v>3789</v>
      </c>
      <c r="I158" s="2">
        <v>2024</v>
      </c>
      <c r="J158" s="1" t="s">
        <v>3790</v>
      </c>
      <c r="K158" s="1" t="s">
        <v>3791</v>
      </c>
      <c r="L158" s="1" t="s">
        <v>3792</v>
      </c>
      <c r="M158" s="1">
        <v>86</v>
      </c>
      <c r="N158" s="1">
        <v>0</v>
      </c>
      <c r="O158" s="1">
        <v>3</v>
      </c>
      <c r="P158" s="1">
        <v>4</v>
      </c>
      <c r="Q158" s="1" t="s">
        <v>748</v>
      </c>
      <c r="R158" s="1" t="s">
        <v>749</v>
      </c>
      <c r="S158" s="1" t="s">
        <v>750</v>
      </c>
      <c r="T158" s="1" t="s">
        <v>3793</v>
      </c>
      <c r="U158" s="1" t="s">
        <v>3794</v>
      </c>
      <c r="V158" s="1">
        <v>26</v>
      </c>
      <c r="W158" s="1">
        <v>4</v>
      </c>
      <c r="X158" s="1" t="s">
        <v>3795</v>
      </c>
      <c r="Y158" s="1" t="str">
        <f>HYPERLINK("http://dx.doi.org/10.1142/S0219198924500075","http://dx.doi.org/10.1142/S0219198924500075")</f>
        <v>http://dx.doi.org/10.1142/S0219198924500075</v>
      </c>
      <c r="Z158" s="1">
        <v>53</v>
      </c>
      <c r="AA158" s="1" t="s">
        <v>3796</v>
      </c>
      <c r="AB158" s="1" t="s">
        <v>124</v>
      </c>
      <c r="AC158" s="1" t="s">
        <v>137</v>
      </c>
      <c r="AD158" s="1" t="s">
        <v>48</v>
      </c>
      <c r="AE158" s="1" t="s">
        <v>48</v>
      </c>
    </row>
    <row r="159" spans="1:31" s="1" customFormat="1" ht="18.5" x14ac:dyDescent="0.45">
      <c r="A159" s="1" t="s">
        <v>3494</v>
      </c>
      <c r="B159" s="1" t="s">
        <v>3495</v>
      </c>
      <c r="C159" s="1" t="s">
        <v>3818</v>
      </c>
      <c r="D159" s="1" t="s">
        <v>3819</v>
      </c>
      <c r="E159" s="1" t="s">
        <v>53</v>
      </c>
      <c r="F159" s="1" t="s">
        <v>3820</v>
      </c>
      <c r="G159" s="1" t="s">
        <v>3821</v>
      </c>
      <c r="H159" s="1" t="s">
        <v>3822</v>
      </c>
      <c r="I159" s="2">
        <v>2024</v>
      </c>
      <c r="J159" s="1" t="s">
        <v>3823</v>
      </c>
      <c r="K159" s="1" t="s">
        <v>3499</v>
      </c>
      <c r="L159" s="1" t="s">
        <v>3824</v>
      </c>
      <c r="M159" s="1">
        <v>60</v>
      </c>
      <c r="N159" s="1">
        <v>2</v>
      </c>
      <c r="O159" s="1">
        <v>1</v>
      </c>
      <c r="P159" s="1">
        <v>1</v>
      </c>
      <c r="Q159" s="1" t="s">
        <v>3825</v>
      </c>
      <c r="R159" s="1" t="s">
        <v>3826</v>
      </c>
      <c r="S159" s="1" t="s">
        <v>3827</v>
      </c>
      <c r="T159" s="1" t="s">
        <v>3828</v>
      </c>
      <c r="U159" s="1" t="s">
        <v>3829</v>
      </c>
      <c r="V159" s="1">
        <v>51</v>
      </c>
      <c r="W159" s="1">
        <v>6</v>
      </c>
      <c r="X159" s="1" t="s">
        <v>3830</v>
      </c>
      <c r="Y159" s="1" t="str">
        <f>HYPERLINK("http://dx.doi.org/10.1139/cjce-2023-0360","http://dx.doi.org/10.1139/cjce-2023-0360")</f>
        <v>http://dx.doi.org/10.1139/cjce-2023-0360</v>
      </c>
      <c r="Z159" s="1">
        <v>19</v>
      </c>
      <c r="AA159" s="1" t="s">
        <v>3831</v>
      </c>
      <c r="AB159" s="1" t="s">
        <v>67</v>
      </c>
      <c r="AC159" s="1" t="s">
        <v>1733</v>
      </c>
      <c r="AD159" s="1" t="s">
        <v>48</v>
      </c>
      <c r="AE159" s="1" t="s">
        <v>48</v>
      </c>
    </row>
    <row r="160" spans="1:31" s="1" customFormat="1" ht="18.5" x14ac:dyDescent="0.45">
      <c r="A160" s="1" t="s">
        <v>3832</v>
      </c>
      <c r="B160" s="1" t="s">
        <v>3833</v>
      </c>
      <c r="C160" s="1" t="s">
        <v>3834</v>
      </c>
      <c r="D160" s="1" t="s">
        <v>3835</v>
      </c>
      <c r="E160" s="1" t="s">
        <v>53</v>
      </c>
      <c r="F160" s="1" t="s">
        <v>3836</v>
      </c>
      <c r="G160" s="1" t="s">
        <v>3837</v>
      </c>
      <c r="H160" s="1" t="s">
        <v>3838</v>
      </c>
      <c r="I160" s="2">
        <v>2024</v>
      </c>
      <c r="J160" s="1" t="s">
        <v>3839</v>
      </c>
      <c r="K160" s="1" t="s">
        <v>115</v>
      </c>
      <c r="L160" s="1" t="s">
        <v>3143</v>
      </c>
      <c r="M160" s="1">
        <v>48</v>
      </c>
      <c r="N160" s="1">
        <v>0</v>
      </c>
      <c r="O160" s="1">
        <v>5</v>
      </c>
      <c r="P160" s="1">
        <v>6</v>
      </c>
      <c r="Q160" s="1" t="s">
        <v>503</v>
      </c>
      <c r="R160" s="1" t="s">
        <v>504</v>
      </c>
      <c r="S160" s="1" t="s">
        <v>505</v>
      </c>
      <c r="T160" s="1" t="s">
        <v>3840</v>
      </c>
      <c r="U160" s="1" t="s">
        <v>3841</v>
      </c>
      <c r="V160" s="1">
        <v>27</v>
      </c>
      <c r="W160" s="1">
        <v>4</v>
      </c>
      <c r="X160" s="1" t="s">
        <v>3842</v>
      </c>
      <c r="Y160" s="1" t="str">
        <f>HYPERLINK("http://dx.doi.org/10.1007/s10123-023-00456-9","http://dx.doi.org/10.1007/s10123-023-00456-9")</f>
        <v>http://dx.doi.org/10.1007/s10123-023-00456-9</v>
      </c>
      <c r="Z160" s="1">
        <v>11</v>
      </c>
      <c r="AA160" s="1" t="s">
        <v>123</v>
      </c>
      <c r="AB160" s="1" t="s">
        <v>67</v>
      </c>
      <c r="AC160" s="1" t="s">
        <v>123</v>
      </c>
      <c r="AD160" s="1">
        <v>38044417</v>
      </c>
      <c r="AE160" s="1" t="s">
        <v>48</v>
      </c>
    </row>
    <row r="161" spans="1:31" s="1" customFormat="1" ht="18.5" x14ac:dyDescent="0.45">
      <c r="A161" s="1" t="s">
        <v>3868</v>
      </c>
      <c r="B161" s="1" t="s">
        <v>3869</v>
      </c>
      <c r="C161" s="1" t="s">
        <v>3870</v>
      </c>
      <c r="D161" s="1" t="s">
        <v>3871</v>
      </c>
      <c r="E161" s="1" t="s">
        <v>53</v>
      </c>
      <c r="F161" s="1" t="s">
        <v>48</v>
      </c>
      <c r="G161" s="1" t="s">
        <v>3872</v>
      </c>
      <c r="H161" s="1" t="s">
        <v>3873</v>
      </c>
      <c r="I161" s="2">
        <v>2024</v>
      </c>
      <c r="J161" s="1" t="s">
        <v>3874</v>
      </c>
      <c r="K161" s="1" t="s">
        <v>3697</v>
      </c>
      <c r="L161" s="1" t="s">
        <v>3875</v>
      </c>
      <c r="M161" s="1">
        <v>35</v>
      </c>
      <c r="N161" s="1">
        <v>0</v>
      </c>
      <c r="O161" s="1">
        <v>2</v>
      </c>
      <c r="P161" s="1">
        <v>2</v>
      </c>
      <c r="Q161" s="1" t="s">
        <v>1297</v>
      </c>
      <c r="R161" s="1" t="s">
        <v>158</v>
      </c>
      <c r="S161" s="1" t="s">
        <v>1298</v>
      </c>
      <c r="T161" s="1" t="s">
        <v>3876</v>
      </c>
      <c r="U161" s="1" t="s">
        <v>3877</v>
      </c>
      <c r="V161" s="1">
        <v>68</v>
      </c>
      <c r="W161" s="1">
        <v>2</v>
      </c>
      <c r="X161" s="1" t="s">
        <v>3878</v>
      </c>
      <c r="Y161" s="1" t="str">
        <f>HYPERLINK("http://dx.doi.org/10.1093/comjnl/bxae099","http://dx.doi.org/10.1093/comjnl/bxae099")</f>
        <v>http://dx.doi.org/10.1093/comjnl/bxae099</v>
      </c>
      <c r="Z161" s="1">
        <v>10</v>
      </c>
      <c r="AA161" s="1" t="s">
        <v>3879</v>
      </c>
      <c r="AB161" s="1" t="s">
        <v>67</v>
      </c>
      <c r="AC161" s="1" t="s">
        <v>292</v>
      </c>
      <c r="AD161" s="1" t="s">
        <v>48</v>
      </c>
      <c r="AE161" s="1" t="s">
        <v>48</v>
      </c>
    </row>
    <row r="162" spans="1:31" s="1" customFormat="1" ht="18.5" x14ac:dyDescent="0.45">
      <c r="A162" s="1" t="s">
        <v>3880</v>
      </c>
      <c r="B162" s="1" t="s">
        <v>3881</v>
      </c>
      <c r="C162" s="1" t="s">
        <v>3882</v>
      </c>
      <c r="D162" s="1" t="s">
        <v>3883</v>
      </c>
      <c r="E162" s="1" t="s">
        <v>111</v>
      </c>
      <c r="F162" s="1" t="s">
        <v>3884</v>
      </c>
      <c r="G162" s="1" t="s">
        <v>3885</v>
      </c>
      <c r="H162" s="1" t="s">
        <v>3886</v>
      </c>
      <c r="I162" s="2">
        <v>2024</v>
      </c>
      <c r="J162" s="1" t="s">
        <v>3887</v>
      </c>
      <c r="K162" s="1" t="s">
        <v>3888</v>
      </c>
      <c r="L162" s="1" t="s">
        <v>3889</v>
      </c>
      <c r="M162" s="1">
        <v>81</v>
      </c>
      <c r="N162" s="1">
        <v>0</v>
      </c>
      <c r="O162" s="1">
        <v>2</v>
      </c>
      <c r="P162" s="1">
        <v>2</v>
      </c>
      <c r="Q162" s="1" t="s">
        <v>530</v>
      </c>
      <c r="R162" s="1" t="s">
        <v>531</v>
      </c>
      <c r="S162" s="1" t="s">
        <v>532</v>
      </c>
      <c r="T162" s="1" t="s">
        <v>3890</v>
      </c>
      <c r="U162" s="1" t="s">
        <v>3891</v>
      </c>
      <c r="V162" s="1" t="s">
        <v>48</v>
      </c>
      <c r="W162" s="1" t="s">
        <v>48</v>
      </c>
      <c r="X162" s="1" t="s">
        <v>3892</v>
      </c>
      <c r="Y162" s="1" t="str">
        <f>HYPERLINK("http://dx.doi.org/10.1108/JEEE-02-2024-0057","http://dx.doi.org/10.1108/JEEE-02-2024-0057")</f>
        <v>http://dx.doi.org/10.1108/JEEE-02-2024-0057</v>
      </c>
      <c r="Z162" s="1">
        <v>19</v>
      </c>
      <c r="AA162" s="1" t="s">
        <v>1630</v>
      </c>
      <c r="AB162" s="1" t="s">
        <v>124</v>
      </c>
      <c r="AC162" s="1" t="s">
        <v>510</v>
      </c>
      <c r="AD162" s="1" t="s">
        <v>48</v>
      </c>
      <c r="AE162" s="1" t="s">
        <v>48</v>
      </c>
    </row>
    <row r="163" spans="1:31" s="1" customFormat="1" ht="18.5" x14ac:dyDescent="0.45">
      <c r="A163" s="1" t="s">
        <v>3893</v>
      </c>
      <c r="B163" s="1" t="s">
        <v>3894</v>
      </c>
      <c r="C163" s="1" t="s">
        <v>3895</v>
      </c>
      <c r="D163" s="1" t="s">
        <v>513</v>
      </c>
      <c r="E163" s="1" t="s">
        <v>53</v>
      </c>
      <c r="F163" s="1" t="s">
        <v>3896</v>
      </c>
      <c r="G163" s="1" t="s">
        <v>48</v>
      </c>
      <c r="H163" s="1" t="s">
        <v>3897</v>
      </c>
      <c r="I163" s="2">
        <v>2024</v>
      </c>
      <c r="J163" s="1" t="s">
        <v>3898</v>
      </c>
      <c r="K163" s="1" t="s">
        <v>115</v>
      </c>
      <c r="L163" s="1" t="s">
        <v>1862</v>
      </c>
      <c r="M163" s="1">
        <v>62</v>
      </c>
      <c r="N163" s="1">
        <v>0</v>
      </c>
      <c r="O163" s="1">
        <v>7</v>
      </c>
      <c r="P163" s="1">
        <v>7</v>
      </c>
      <c r="Q163" s="1" t="s">
        <v>517</v>
      </c>
      <c r="R163" s="1" t="s">
        <v>239</v>
      </c>
      <c r="S163" s="1" t="s">
        <v>518</v>
      </c>
      <c r="T163" s="1" t="s">
        <v>519</v>
      </c>
      <c r="U163" s="1" t="s">
        <v>520</v>
      </c>
      <c r="V163" s="1">
        <v>62</v>
      </c>
      <c r="W163" s="1">
        <v>7</v>
      </c>
      <c r="X163" s="1" t="s">
        <v>3899</v>
      </c>
      <c r="Y163" s="1" t="str">
        <f>HYPERLINK("http://dx.doi.org/10.56042/ijeb.v62i07.12071","http://dx.doi.org/10.56042/ijeb.v62i07.12071")</f>
        <v>http://dx.doi.org/10.56042/ijeb.v62i07.12071</v>
      </c>
      <c r="Z163" s="1">
        <v>9</v>
      </c>
      <c r="AA163" s="1" t="s">
        <v>522</v>
      </c>
      <c r="AB163" s="1" t="s">
        <v>67</v>
      </c>
      <c r="AC163" s="1" t="s">
        <v>523</v>
      </c>
      <c r="AD163" s="1" t="s">
        <v>48</v>
      </c>
      <c r="AE163" s="1" t="s">
        <v>125</v>
      </c>
    </row>
    <row r="164" spans="1:31" s="1" customFormat="1" ht="18.5" x14ac:dyDescent="0.45">
      <c r="A164" s="1" t="s">
        <v>3516</v>
      </c>
      <c r="B164" s="1" t="s">
        <v>3517</v>
      </c>
      <c r="C164" s="1" t="s">
        <v>3902</v>
      </c>
      <c r="D164" s="1" t="s">
        <v>3903</v>
      </c>
      <c r="E164" s="1" t="s">
        <v>53</v>
      </c>
      <c r="F164" s="1" t="s">
        <v>3904</v>
      </c>
      <c r="G164" s="1" t="s">
        <v>48</v>
      </c>
      <c r="H164" s="1" t="s">
        <v>3905</v>
      </c>
      <c r="I164" s="2">
        <v>2024</v>
      </c>
      <c r="J164" s="1" t="s">
        <v>3906</v>
      </c>
      <c r="K164" s="1" t="s">
        <v>3520</v>
      </c>
      <c r="L164" s="1" t="s">
        <v>3907</v>
      </c>
      <c r="M164" s="1">
        <v>44</v>
      </c>
      <c r="N164" s="1">
        <v>1</v>
      </c>
      <c r="O164" s="1">
        <v>0</v>
      </c>
      <c r="P164" s="1">
        <v>1</v>
      </c>
      <c r="Q164" s="1" t="s">
        <v>3908</v>
      </c>
      <c r="R164" s="1" t="s">
        <v>504</v>
      </c>
      <c r="S164" s="1" t="s">
        <v>3909</v>
      </c>
      <c r="T164" s="1" t="s">
        <v>3910</v>
      </c>
      <c r="U164" s="1" t="s">
        <v>3911</v>
      </c>
      <c r="V164" s="1">
        <v>43</v>
      </c>
      <c r="W164" s="1">
        <v>4</v>
      </c>
      <c r="X164" s="1" t="s">
        <v>3912</v>
      </c>
      <c r="Y164" s="1" t="str">
        <f>HYPERLINK("http://dx.doi.org/10.1007/s00034-023-02570-5","http://dx.doi.org/10.1007/s00034-023-02570-5")</f>
        <v>http://dx.doi.org/10.1007/s00034-023-02570-5</v>
      </c>
      <c r="Z164" s="1">
        <v>23</v>
      </c>
      <c r="AA164" s="1" t="s">
        <v>3913</v>
      </c>
      <c r="AB164" s="1" t="s">
        <v>67</v>
      </c>
      <c r="AC164" s="1" t="s">
        <v>1733</v>
      </c>
      <c r="AD164" s="1" t="s">
        <v>48</v>
      </c>
      <c r="AE164" s="1" t="s">
        <v>48</v>
      </c>
    </row>
    <row r="165" spans="1:31" s="1" customFormat="1" ht="18.5" x14ac:dyDescent="0.45">
      <c r="A165" s="1" t="s">
        <v>3924</v>
      </c>
      <c r="B165" s="1" t="s">
        <v>3925</v>
      </c>
      <c r="C165" s="1" t="s">
        <v>3926</v>
      </c>
      <c r="D165" s="1" t="s">
        <v>3927</v>
      </c>
      <c r="E165" s="1" t="s">
        <v>53</v>
      </c>
      <c r="F165" s="1" t="s">
        <v>3928</v>
      </c>
      <c r="G165" s="1" t="s">
        <v>3929</v>
      </c>
      <c r="H165" s="1" t="s">
        <v>3930</v>
      </c>
      <c r="I165" s="2">
        <v>2024</v>
      </c>
      <c r="J165" s="1" t="s">
        <v>3931</v>
      </c>
      <c r="K165" s="1" t="s">
        <v>58</v>
      </c>
      <c r="L165" s="1" t="s">
        <v>3932</v>
      </c>
      <c r="M165" s="1">
        <v>126</v>
      </c>
      <c r="N165" s="1">
        <v>0</v>
      </c>
      <c r="O165" s="1">
        <v>2</v>
      </c>
      <c r="P165" s="1">
        <v>5</v>
      </c>
      <c r="Q165" s="1" t="s">
        <v>252</v>
      </c>
      <c r="R165" s="1" t="s">
        <v>253</v>
      </c>
      <c r="S165" s="1" t="s">
        <v>254</v>
      </c>
      <c r="T165" s="1" t="s">
        <v>3933</v>
      </c>
      <c r="U165" s="1" t="s">
        <v>3934</v>
      </c>
      <c r="V165" s="1">
        <v>9</v>
      </c>
      <c r="W165" s="1">
        <v>3</v>
      </c>
      <c r="X165" s="1" t="s">
        <v>3935</v>
      </c>
      <c r="Y165" s="1" t="str">
        <f>HYPERLINK("http://dx.doi.org/10.1007/s43217-024-00181-x","http://dx.doi.org/10.1007/s43217-024-00181-x")</f>
        <v>http://dx.doi.org/10.1007/s43217-024-00181-x</v>
      </c>
      <c r="Z165" s="1">
        <v>29</v>
      </c>
      <c r="AA165" s="1" t="s">
        <v>438</v>
      </c>
      <c r="AB165" s="1" t="s">
        <v>124</v>
      </c>
      <c r="AC165" s="1" t="s">
        <v>439</v>
      </c>
      <c r="AD165" s="1" t="s">
        <v>48</v>
      </c>
      <c r="AE165" s="1" t="s">
        <v>48</v>
      </c>
    </row>
    <row r="166" spans="1:31" s="1" customFormat="1" ht="18.5" x14ac:dyDescent="0.45">
      <c r="A166" s="1" t="s">
        <v>3936</v>
      </c>
      <c r="B166" s="1" t="s">
        <v>3937</v>
      </c>
      <c r="C166" s="1" t="s">
        <v>3938</v>
      </c>
      <c r="D166" s="1" t="s">
        <v>3939</v>
      </c>
      <c r="E166" s="1" t="s">
        <v>53</v>
      </c>
      <c r="F166" s="1" t="s">
        <v>3940</v>
      </c>
      <c r="G166" s="1" t="s">
        <v>3941</v>
      </c>
      <c r="H166" s="1" t="s">
        <v>3942</v>
      </c>
      <c r="I166" s="2">
        <v>2024</v>
      </c>
      <c r="J166" s="1" t="s">
        <v>3943</v>
      </c>
      <c r="K166" s="1" t="s">
        <v>58</v>
      </c>
      <c r="L166" s="1" t="s">
        <v>3944</v>
      </c>
      <c r="M166" s="1">
        <v>60</v>
      </c>
      <c r="N166" s="1">
        <v>0</v>
      </c>
      <c r="O166" s="1">
        <v>2</v>
      </c>
      <c r="P166" s="1">
        <v>9</v>
      </c>
      <c r="Q166" s="1" t="s">
        <v>2270</v>
      </c>
      <c r="R166" s="1" t="s">
        <v>2271</v>
      </c>
      <c r="S166" s="1" t="s">
        <v>2272</v>
      </c>
      <c r="T166" s="1" t="s">
        <v>3945</v>
      </c>
      <c r="U166" s="1" t="s">
        <v>3946</v>
      </c>
      <c r="V166" s="1">
        <v>44</v>
      </c>
      <c r="W166" s="1">
        <v>3</v>
      </c>
      <c r="X166" s="1" t="s">
        <v>3947</v>
      </c>
      <c r="Y166" s="1" t="str">
        <f>HYPERLINK("http://dx.doi.org/10.1007/s42690-024-01202-y","http://dx.doi.org/10.1007/s42690-024-01202-y")</f>
        <v>http://dx.doi.org/10.1007/s42690-024-01202-y</v>
      </c>
      <c r="Z166" s="1">
        <v>26</v>
      </c>
      <c r="AA166" s="1" t="s">
        <v>2521</v>
      </c>
      <c r="AB166" s="1" t="s">
        <v>67</v>
      </c>
      <c r="AC166" s="1" t="s">
        <v>2521</v>
      </c>
      <c r="AD166" s="1" t="s">
        <v>48</v>
      </c>
      <c r="AE166" s="1" t="s">
        <v>48</v>
      </c>
    </row>
    <row r="167" spans="1:31" s="1" customFormat="1" ht="18.5" x14ac:dyDescent="0.45">
      <c r="A167" s="1" t="s">
        <v>3948</v>
      </c>
      <c r="B167" s="1" t="s">
        <v>3949</v>
      </c>
      <c r="C167" s="1" t="s">
        <v>3950</v>
      </c>
      <c r="D167" s="1" t="s">
        <v>155</v>
      </c>
      <c r="E167" s="1" t="s">
        <v>53</v>
      </c>
      <c r="F167" s="1" t="s">
        <v>3951</v>
      </c>
      <c r="G167" s="1" t="s">
        <v>3952</v>
      </c>
      <c r="H167" s="1" t="s">
        <v>3953</v>
      </c>
      <c r="I167" s="2">
        <v>2024</v>
      </c>
      <c r="J167" s="1" t="s">
        <v>3954</v>
      </c>
      <c r="K167" s="1" t="s">
        <v>3669</v>
      </c>
      <c r="L167" s="1" t="s">
        <v>3955</v>
      </c>
      <c r="M167" s="1">
        <v>39</v>
      </c>
      <c r="N167" s="1">
        <v>6</v>
      </c>
      <c r="O167" s="1">
        <v>5</v>
      </c>
      <c r="P167" s="1">
        <v>21</v>
      </c>
      <c r="Q167" s="1" t="s">
        <v>60</v>
      </c>
      <c r="R167" s="1" t="s">
        <v>61</v>
      </c>
      <c r="S167" s="1" t="s">
        <v>62</v>
      </c>
      <c r="T167" s="1" t="s">
        <v>160</v>
      </c>
      <c r="U167" s="1" t="s">
        <v>161</v>
      </c>
      <c r="V167" s="1">
        <v>440</v>
      </c>
      <c r="W167" s="1" t="s">
        <v>48</v>
      </c>
      <c r="X167" s="1" t="s">
        <v>3956</v>
      </c>
      <c r="Y167" s="1" t="str">
        <f>HYPERLINK("http://dx.doi.org/10.1016/j.jclepro.2024.140846","http://dx.doi.org/10.1016/j.jclepro.2024.140846")</f>
        <v>http://dx.doi.org/10.1016/j.jclepro.2024.140846</v>
      </c>
      <c r="Z167" s="1">
        <v>12</v>
      </c>
      <c r="AA167" s="1" t="s">
        <v>164</v>
      </c>
      <c r="AB167" s="1" t="s">
        <v>67</v>
      </c>
      <c r="AC167" s="1" t="s">
        <v>165</v>
      </c>
      <c r="AD167" s="1" t="s">
        <v>48</v>
      </c>
      <c r="AE167" s="1" t="s">
        <v>48</v>
      </c>
    </row>
    <row r="168" spans="1:31" s="1" customFormat="1" ht="18.5" x14ac:dyDescent="0.45">
      <c r="A168" s="1" t="s">
        <v>3957</v>
      </c>
      <c r="B168" s="1" t="s">
        <v>3958</v>
      </c>
      <c r="C168" s="1" t="s">
        <v>3959</v>
      </c>
      <c r="D168" s="1" t="s">
        <v>3960</v>
      </c>
      <c r="E168" s="1" t="s">
        <v>53</v>
      </c>
      <c r="F168" s="1" t="s">
        <v>3961</v>
      </c>
      <c r="G168" s="1" t="s">
        <v>48</v>
      </c>
      <c r="H168" s="1" t="s">
        <v>3962</v>
      </c>
      <c r="I168" s="2">
        <v>2024</v>
      </c>
      <c r="J168" s="1" t="s">
        <v>3963</v>
      </c>
      <c r="K168" s="1" t="s">
        <v>58</v>
      </c>
      <c r="L168" s="1" t="s">
        <v>3964</v>
      </c>
      <c r="M168" s="1">
        <v>37</v>
      </c>
      <c r="N168" s="1">
        <v>0</v>
      </c>
      <c r="O168" s="1">
        <v>0</v>
      </c>
      <c r="P168" s="1">
        <v>0</v>
      </c>
      <c r="Q168" s="1" t="s">
        <v>3965</v>
      </c>
      <c r="R168" s="1" t="s">
        <v>3966</v>
      </c>
      <c r="S168" s="1" t="s">
        <v>3967</v>
      </c>
      <c r="T168" s="1" t="s">
        <v>3968</v>
      </c>
      <c r="U168" s="1" t="s">
        <v>3969</v>
      </c>
      <c r="V168" s="1">
        <v>14</v>
      </c>
      <c r="W168" s="1">
        <v>11</v>
      </c>
      <c r="X168" s="1" t="s">
        <v>3970</v>
      </c>
      <c r="Y168" s="1" t="str">
        <f>HYPERLINK("http://dx.doi.org/10.5455/OVJ.2024.v14.i11.9","http://dx.doi.org/10.5455/OVJ.2024.v14.i11.9")</f>
        <v>http://dx.doi.org/10.5455/OVJ.2024.v14.i11.9</v>
      </c>
      <c r="Z168" s="1">
        <v>11</v>
      </c>
      <c r="AA168" s="1" t="s">
        <v>3971</v>
      </c>
      <c r="AB168" s="1" t="s">
        <v>124</v>
      </c>
      <c r="AC168" s="1" t="s">
        <v>3971</v>
      </c>
      <c r="AD168" s="1">
        <v>39737031</v>
      </c>
      <c r="AE168" s="1" t="s">
        <v>125</v>
      </c>
    </row>
    <row r="169" spans="1:31" s="1" customFormat="1" ht="18.5" x14ac:dyDescent="0.45">
      <c r="A169" s="1" t="s">
        <v>4000</v>
      </c>
      <c r="B169" s="1" t="s">
        <v>4001</v>
      </c>
      <c r="C169" s="1" t="s">
        <v>4002</v>
      </c>
      <c r="D169" s="1" t="s">
        <v>3213</v>
      </c>
      <c r="E169" s="1" t="s">
        <v>53</v>
      </c>
      <c r="F169" s="1" t="s">
        <v>4003</v>
      </c>
      <c r="G169" s="1" t="s">
        <v>4004</v>
      </c>
      <c r="H169" s="1" t="s">
        <v>4005</v>
      </c>
      <c r="I169" s="2">
        <v>2024</v>
      </c>
      <c r="J169" s="1" t="s">
        <v>4006</v>
      </c>
      <c r="K169" s="1" t="s">
        <v>77</v>
      </c>
      <c r="L169" s="1" t="s">
        <v>2862</v>
      </c>
      <c r="M169" s="1">
        <v>104</v>
      </c>
      <c r="N169" s="1">
        <v>0</v>
      </c>
      <c r="O169" s="1">
        <v>5</v>
      </c>
      <c r="P169" s="1">
        <v>5</v>
      </c>
      <c r="Q169" s="1" t="s">
        <v>503</v>
      </c>
      <c r="R169" s="1" t="s">
        <v>542</v>
      </c>
      <c r="S169" s="1" t="s">
        <v>543</v>
      </c>
      <c r="T169" s="1" t="s">
        <v>3218</v>
      </c>
      <c r="U169" s="1" t="s">
        <v>3219</v>
      </c>
      <c r="V169" s="1">
        <v>40</v>
      </c>
      <c r="W169" s="1">
        <v>12</v>
      </c>
      <c r="X169" s="1" t="s">
        <v>4007</v>
      </c>
      <c r="Y169" s="1" t="str">
        <f>HYPERLINK("http://dx.doi.org/10.1007/s11274-024-04178-6","http://dx.doi.org/10.1007/s11274-024-04178-6")</f>
        <v>http://dx.doi.org/10.1007/s11274-024-04178-6</v>
      </c>
      <c r="Z169" s="1">
        <v>17</v>
      </c>
      <c r="AA169" s="1" t="s">
        <v>1528</v>
      </c>
      <c r="AB169" s="1" t="s">
        <v>67</v>
      </c>
      <c r="AC169" s="1" t="s">
        <v>1528</v>
      </c>
      <c r="AD169" s="1">
        <v>39495360</v>
      </c>
      <c r="AE169" s="1" t="s">
        <v>48</v>
      </c>
    </row>
    <row r="170" spans="1:31" s="1" customFormat="1" ht="18.5" x14ac:dyDescent="0.45">
      <c r="A170" s="1" t="s">
        <v>4008</v>
      </c>
      <c r="B170" s="1" t="s">
        <v>4009</v>
      </c>
      <c r="C170" s="1" t="s">
        <v>4010</v>
      </c>
      <c r="D170" s="1" t="s">
        <v>429</v>
      </c>
      <c r="E170" s="1" t="s">
        <v>53</v>
      </c>
      <c r="F170" s="1" t="s">
        <v>4011</v>
      </c>
      <c r="G170" s="1" t="s">
        <v>48</v>
      </c>
      <c r="H170" s="1" t="s">
        <v>4012</v>
      </c>
      <c r="I170" s="2">
        <v>2024</v>
      </c>
      <c r="J170" s="1" t="s">
        <v>4013</v>
      </c>
      <c r="K170" s="1" t="s">
        <v>58</v>
      </c>
      <c r="L170" s="1" t="s">
        <v>4014</v>
      </c>
      <c r="M170" s="1">
        <v>69</v>
      </c>
      <c r="N170" s="1">
        <v>0</v>
      </c>
      <c r="O170" s="1">
        <v>2</v>
      </c>
      <c r="P170" s="1">
        <v>2</v>
      </c>
      <c r="Q170" s="1" t="s">
        <v>252</v>
      </c>
      <c r="R170" s="1" t="s">
        <v>253</v>
      </c>
      <c r="S170" s="1" t="s">
        <v>254</v>
      </c>
      <c r="T170" s="1" t="s">
        <v>432</v>
      </c>
      <c r="U170" s="1" t="s">
        <v>433</v>
      </c>
      <c r="V170" s="1">
        <v>10</v>
      </c>
      <c r="W170" s="1">
        <v>6</v>
      </c>
      <c r="X170" s="1" t="s">
        <v>4015</v>
      </c>
      <c r="Y170" s="1" t="str">
        <f>HYPERLINK("http://dx.doi.org/10.1007/s40808-024-02156-3","http://dx.doi.org/10.1007/s40808-024-02156-3")</f>
        <v>http://dx.doi.org/10.1007/s40808-024-02156-3</v>
      </c>
      <c r="Z170" s="1">
        <v>20</v>
      </c>
      <c r="AA170" s="1" t="s">
        <v>438</v>
      </c>
      <c r="AB170" s="1" t="s">
        <v>124</v>
      </c>
      <c r="AC170" s="1" t="s">
        <v>439</v>
      </c>
      <c r="AD170" s="1" t="s">
        <v>48</v>
      </c>
      <c r="AE170" s="1" t="s">
        <v>48</v>
      </c>
    </row>
    <row r="171" spans="1:31" s="1" customFormat="1" ht="18.5" x14ac:dyDescent="0.45">
      <c r="A171" s="1" t="s">
        <v>4038</v>
      </c>
      <c r="B171" s="1" t="s">
        <v>4039</v>
      </c>
      <c r="C171" s="1" t="s">
        <v>4040</v>
      </c>
      <c r="D171" s="1" t="s">
        <v>4041</v>
      </c>
      <c r="E171" s="1" t="s">
        <v>53</v>
      </c>
      <c r="F171" s="1" t="s">
        <v>4042</v>
      </c>
      <c r="G171" s="1" t="s">
        <v>4043</v>
      </c>
      <c r="H171" s="1" t="s">
        <v>4044</v>
      </c>
      <c r="I171" s="2">
        <v>2024</v>
      </c>
      <c r="J171" s="1" t="s">
        <v>4045</v>
      </c>
      <c r="K171" s="1" t="s">
        <v>3475</v>
      </c>
      <c r="L171" s="1" t="s">
        <v>4046</v>
      </c>
      <c r="M171" s="1">
        <v>62</v>
      </c>
      <c r="N171" s="1">
        <v>2</v>
      </c>
      <c r="O171" s="1">
        <v>7</v>
      </c>
      <c r="P171" s="1">
        <v>11</v>
      </c>
      <c r="Q171" s="1" t="s">
        <v>215</v>
      </c>
      <c r="R171" s="1" t="s">
        <v>158</v>
      </c>
      <c r="S171" s="1" t="s">
        <v>216</v>
      </c>
      <c r="T171" s="1" t="s">
        <v>4047</v>
      </c>
      <c r="U171" s="1" t="s">
        <v>4048</v>
      </c>
      <c r="V171" s="1">
        <v>193</v>
      </c>
      <c r="W171" s="1" t="s">
        <v>48</v>
      </c>
      <c r="X171" s="1" t="s">
        <v>4049</v>
      </c>
      <c r="Y171" s="1" t="str">
        <f>HYPERLINK("http://dx.doi.org/10.1016/j.jpcs.2024.112144","http://dx.doi.org/10.1016/j.jpcs.2024.112144")</f>
        <v>http://dx.doi.org/10.1016/j.jpcs.2024.112144</v>
      </c>
      <c r="Z171" s="1">
        <v>9</v>
      </c>
      <c r="AA171" s="1" t="s">
        <v>4050</v>
      </c>
      <c r="AB171" s="1" t="s">
        <v>67</v>
      </c>
      <c r="AC171" s="1" t="s">
        <v>2596</v>
      </c>
      <c r="AD171" s="1" t="s">
        <v>48</v>
      </c>
      <c r="AE171" s="1" t="s">
        <v>48</v>
      </c>
    </row>
    <row r="172" spans="1:31" s="1" customFormat="1" ht="18.5" x14ac:dyDescent="0.45">
      <c r="A172" s="1" t="s">
        <v>4065</v>
      </c>
      <c r="B172" s="1" t="s">
        <v>4066</v>
      </c>
      <c r="C172" s="1" t="s">
        <v>4067</v>
      </c>
      <c r="D172" s="1" t="s">
        <v>4068</v>
      </c>
      <c r="E172" s="1" t="s">
        <v>4069</v>
      </c>
      <c r="F172" s="1" t="s">
        <v>4070</v>
      </c>
      <c r="G172" s="1" t="s">
        <v>4071</v>
      </c>
      <c r="H172" s="1" t="s">
        <v>4072</v>
      </c>
      <c r="I172" s="2">
        <v>2024</v>
      </c>
      <c r="J172" s="1" t="s">
        <v>4073</v>
      </c>
      <c r="K172" s="1" t="s">
        <v>58</v>
      </c>
      <c r="L172" s="1" t="s">
        <v>4074</v>
      </c>
      <c r="M172" s="1">
        <v>274</v>
      </c>
      <c r="N172" s="1">
        <v>0</v>
      </c>
      <c r="O172" s="1">
        <v>3</v>
      </c>
      <c r="P172" s="1">
        <v>3</v>
      </c>
      <c r="Q172" s="1" t="s">
        <v>1523</v>
      </c>
      <c r="R172" s="1" t="s">
        <v>632</v>
      </c>
      <c r="S172" s="1" t="s">
        <v>1524</v>
      </c>
      <c r="T172" s="1" t="s">
        <v>4075</v>
      </c>
      <c r="U172" s="1" t="s">
        <v>4076</v>
      </c>
      <c r="V172" s="1" t="s">
        <v>48</v>
      </c>
      <c r="W172" s="1" t="s">
        <v>48</v>
      </c>
      <c r="X172" s="1" t="s">
        <v>4077</v>
      </c>
      <c r="Y172" s="1" t="str">
        <f>HYPERLINK("http://dx.doi.org/10.1007/s12011-024-04361-8","http://dx.doi.org/10.1007/s12011-024-04361-8")</f>
        <v>http://dx.doi.org/10.1007/s12011-024-04361-8</v>
      </c>
      <c r="Z172" s="1">
        <v>27</v>
      </c>
      <c r="AA172" s="1" t="s">
        <v>2060</v>
      </c>
      <c r="AB172" s="1" t="s">
        <v>67</v>
      </c>
      <c r="AC172" s="1" t="s">
        <v>2060</v>
      </c>
      <c r="AD172" s="1">
        <v>39222235</v>
      </c>
      <c r="AE172" s="1" t="s">
        <v>48</v>
      </c>
    </row>
    <row r="173" spans="1:31" s="1" customFormat="1" ht="18.5" x14ac:dyDescent="0.45">
      <c r="A173" s="1" t="s">
        <v>4078</v>
      </c>
      <c r="B173" s="1" t="s">
        <v>4079</v>
      </c>
      <c r="C173" s="1" t="s">
        <v>4080</v>
      </c>
      <c r="D173" s="1" t="s">
        <v>4081</v>
      </c>
      <c r="E173" s="1" t="s">
        <v>53</v>
      </c>
      <c r="F173" s="1" t="s">
        <v>4082</v>
      </c>
      <c r="G173" s="1" t="s">
        <v>4083</v>
      </c>
      <c r="H173" s="1" t="s">
        <v>4084</v>
      </c>
      <c r="I173" s="2">
        <v>2024</v>
      </c>
      <c r="J173" s="1" t="s">
        <v>4085</v>
      </c>
      <c r="K173" s="1" t="s">
        <v>4086</v>
      </c>
      <c r="L173" s="1" t="s">
        <v>4087</v>
      </c>
      <c r="M173" s="1">
        <v>11</v>
      </c>
      <c r="N173" s="1">
        <v>0</v>
      </c>
      <c r="O173" s="1">
        <v>0</v>
      </c>
      <c r="P173" s="1">
        <v>0</v>
      </c>
      <c r="Q173" s="1" t="s">
        <v>4088</v>
      </c>
      <c r="R173" s="1" t="s">
        <v>4089</v>
      </c>
      <c r="S173" s="1" t="s">
        <v>4090</v>
      </c>
      <c r="T173" s="1" t="s">
        <v>4091</v>
      </c>
      <c r="U173" s="1" t="s">
        <v>48</v>
      </c>
      <c r="V173" s="1">
        <v>38</v>
      </c>
      <c r="W173" s="1">
        <v>16</v>
      </c>
      <c r="X173" s="1" t="s">
        <v>4092</v>
      </c>
      <c r="Y173" s="1" t="str">
        <f>HYPERLINK("http://dx.doi.org/10.2298/FIL2416699A","http://dx.doi.org/10.2298/FIL2416699A")</f>
        <v>http://dx.doi.org/10.2298/FIL2416699A</v>
      </c>
      <c r="Z173" s="1">
        <v>17</v>
      </c>
      <c r="AA173" s="1" t="s">
        <v>1041</v>
      </c>
      <c r="AB173" s="1" t="s">
        <v>67</v>
      </c>
      <c r="AC173" s="1" t="s">
        <v>137</v>
      </c>
      <c r="AD173" s="1" t="s">
        <v>48</v>
      </c>
      <c r="AE173" s="1" t="s">
        <v>48</v>
      </c>
    </row>
    <row r="174" spans="1:31" s="1" customFormat="1" ht="18.5" x14ac:dyDescent="0.45">
      <c r="A174" s="1" t="s">
        <v>4093</v>
      </c>
      <c r="B174" s="1" t="s">
        <v>4094</v>
      </c>
      <c r="C174" s="1" t="s">
        <v>4095</v>
      </c>
      <c r="D174" s="1" t="s">
        <v>4096</v>
      </c>
      <c r="E174" s="1" t="s">
        <v>53</v>
      </c>
      <c r="F174" s="1" t="s">
        <v>4097</v>
      </c>
      <c r="G174" s="1" t="s">
        <v>4098</v>
      </c>
      <c r="H174" s="1" t="s">
        <v>4099</v>
      </c>
      <c r="I174" s="2">
        <v>2024</v>
      </c>
      <c r="J174" s="1" t="s">
        <v>4100</v>
      </c>
      <c r="K174" s="1" t="s">
        <v>58</v>
      </c>
      <c r="L174" s="1" t="s">
        <v>4101</v>
      </c>
      <c r="M174" s="1">
        <v>50</v>
      </c>
      <c r="N174" s="1">
        <v>0</v>
      </c>
      <c r="O174" s="1">
        <v>1</v>
      </c>
      <c r="P174" s="1">
        <v>1</v>
      </c>
      <c r="Q174" s="1" t="s">
        <v>4102</v>
      </c>
      <c r="R174" s="1" t="s">
        <v>4103</v>
      </c>
      <c r="S174" s="1" t="s">
        <v>4104</v>
      </c>
      <c r="T174" s="1" t="s">
        <v>4105</v>
      </c>
      <c r="U174" s="1" t="s">
        <v>4106</v>
      </c>
      <c r="V174" s="1">
        <v>41</v>
      </c>
      <c r="W174" s="1">
        <v>3</v>
      </c>
      <c r="X174" s="1" t="s">
        <v>4107</v>
      </c>
      <c r="Y174" s="1" t="str">
        <f>HYPERLINK("http://dx.doi.org/10.12714/egejfas.41.3.02","http://dx.doi.org/10.12714/egejfas.41.3.02")</f>
        <v>http://dx.doi.org/10.12714/egejfas.41.3.02</v>
      </c>
      <c r="Z174" s="1">
        <v>8</v>
      </c>
      <c r="AA174" s="1" t="s">
        <v>4108</v>
      </c>
      <c r="AB174" s="1" t="s">
        <v>124</v>
      </c>
      <c r="AC174" s="1" t="s">
        <v>4108</v>
      </c>
      <c r="AD174" s="1" t="s">
        <v>48</v>
      </c>
      <c r="AE174" s="1" t="s">
        <v>3590</v>
      </c>
    </row>
    <row r="175" spans="1:31" s="1" customFormat="1" ht="18.5" x14ac:dyDescent="0.45">
      <c r="A175" s="1" t="s">
        <v>4109</v>
      </c>
      <c r="B175" s="1" t="s">
        <v>4110</v>
      </c>
      <c r="C175" s="1" t="s">
        <v>4111</v>
      </c>
      <c r="D175" s="1" t="s">
        <v>2575</v>
      </c>
      <c r="E175" s="1" t="s">
        <v>53</v>
      </c>
      <c r="F175" s="1" t="s">
        <v>4112</v>
      </c>
      <c r="G175" s="1" t="s">
        <v>4113</v>
      </c>
      <c r="H175" s="1" t="s">
        <v>4114</v>
      </c>
      <c r="I175" s="2">
        <v>2024</v>
      </c>
      <c r="J175" s="1" t="s">
        <v>4115</v>
      </c>
      <c r="K175" s="1" t="s">
        <v>3520</v>
      </c>
      <c r="L175" s="1" t="s">
        <v>4116</v>
      </c>
      <c r="M175" s="1">
        <v>34</v>
      </c>
      <c r="N175" s="1">
        <v>7</v>
      </c>
      <c r="O175" s="1">
        <v>2</v>
      </c>
      <c r="P175" s="1">
        <v>8</v>
      </c>
      <c r="Q175" s="1" t="s">
        <v>503</v>
      </c>
      <c r="R175" s="1" t="s">
        <v>542</v>
      </c>
      <c r="S175" s="1" t="s">
        <v>543</v>
      </c>
      <c r="T175" s="1" t="s">
        <v>2581</v>
      </c>
      <c r="U175" s="1" t="s">
        <v>2582</v>
      </c>
      <c r="V175" s="1">
        <v>83</v>
      </c>
      <c r="W175" s="1">
        <v>3</v>
      </c>
      <c r="X175" s="1" t="s">
        <v>4117</v>
      </c>
      <c r="Y175" s="1" t="str">
        <f>HYPERLINK("http://dx.doi.org/10.1007/s11042-023-16036-y","http://dx.doi.org/10.1007/s11042-023-16036-y")</f>
        <v>http://dx.doi.org/10.1007/s11042-023-16036-y</v>
      </c>
      <c r="Z175" s="1">
        <v>26</v>
      </c>
      <c r="AA175" s="1" t="s">
        <v>2586</v>
      </c>
      <c r="AB175" s="1" t="s">
        <v>67</v>
      </c>
      <c r="AC175" s="1" t="s">
        <v>389</v>
      </c>
      <c r="AD175" s="1" t="s">
        <v>48</v>
      </c>
      <c r="AE175" s="1" t="s">
        <v>48</v>
      </c>
    </row>
    <row r="176" spans="1:31" s="1" customFormat="1" ht="18.5" x14ac:dyDescent="0.45">
      <c r="A176" s="1" t="s">
        <v>4118</v>
      </c>
      <c r="B176" s="1" t="s">
        <v>4119</v>
      </c>
      <c r="C176" s="1" t="s">
        <v>4120</v>
      </c>
      <c r="D176" s="1" t="s">
        <v>4121</v>
      </c>
      <c r="E176" s="1" t="s">
        <v>53</v>
      </c>
      <c r="F176" s="1" t="s">
        <v>4122</v>
      </c>
      <c r="G176" s="1" t="s">
        <v>4123</v>
      </c>
      <c r="H176" s="1" t="s">
        <v>4124</v>
      </c>
      <c r="I176" s="2">
        <v>2024</v>
      </c>
      <c r="J176" s="1" t="s">
        <v>4125</v>
      </c>
      <c r="K176" s="1" t="s">
        <v>3791</v>
      </c>
      <c r="L176" s="1" t="s">
        <v>4126</v>
      </c>
      <c r="M176" s="1">
        <v>35</v>
      </c>
      <c r="N176" s="1">
        <v>5</v>
      </c>
      <c r="O176" s="1">
        <v>0</v>
      </c>
      <c r="P176" s="1">
        <v>0</v>
      </c>
      <c r="Q176" s="1" t="s">
        <v>748</v>
      </c>
      <c r="R176" s="1" t="s">
        <v>749</v>
      </c>
      <c r="S176" s="1" t="s">
        <v>750</v>
      </c>
      <c r="T176" s="1" t="s">
        <v>4127</v>
      </c>
      <c r="U176" s="1" t="s">
        <v>4128</v>
      </c>
      <c r="V176" s="1">
        <v>20</v>
      </c>
      <c r="W176" s="1">
        <v>1</v>
      </c>
      <c r="X176" s="1" t="s">
        <v>4129</v>
      </c>
      <c r="Y176" s="1" t="str">
        <f>HYPERLINK("http://dx.doi.org/10.1142/S1793005724500054","http://dx.doi.org/10.1142/S1793005724500054")</f>
        <v>http://dx.doi.org/10.1142/S1793005724500054</v>
      </c>
      <c r="Z176" s="1">
        <v>29</v>
      </c>
      <c r="AA176" s="1" t="s">
        <v>3796</v>
      </c>
      <c r="AB176" s="1" t="s">
        <v>124</v>
      </c>
      <c r="AC176" s="1" t="s">
        <v>137</v>
      </c>
      <c r="AD176" s="1" t="s">
        <v>48</v>
      </c>
      <c r="AE176" s="1" t="s">
        <v>48</v>
      </c>
    </row>
    <row r="177" spans="1:31" s="1" customFormat="1" ht="18.5" x14ac:dyDescent="0.45">
      <c r="A177" s="1" t="s">
        <v>4134</v>
      </c>
      <c r="B177" s="1" t="s">
        <v>4135</v>
      </c>
      <c r="C177" s="1" t="s">
        <v>4136</v>
      </c>
      <c r="D177" s="1" t="s">
        <v>4137</v>
      </c>
      <c r="E177" s="1" t="s">
        <v>111</v>
      </c>
      <c r="F177" s="1" t="s">
        <v>4138</v>
      </c>
      <c r="G177" s="1" t="s">
        <v>4139</v>
      </c>
      <c r="H177" s="1" t="s">
        <v>4140</v>
      </c>
      <c r="I177" s="2">
        <v>2024</v>
      </c>
      <c r="J177" s="1" t="s">
        <v>4141</v>
      </c>
      <c r="K177" s="1" t="s">
        <v>4142</v>
      </c>
      <c r="L177" s="1" t="s">
        <v>4143</v>
      </c>
      <c r="M177" s="1">
        <v>46</v>
      </c>
      <c r="N177" s="1">
        <v>0</v>
      </c>
      <c r="O177" s="1">
        <v>9</v>
      </c>
      <c r="P177" s="1">
        <v>9</v>
      </c>
      <c r="Q177" s="1" t="s">
        <v>252</v>
      </c>
      <c r="R177" s="1" t="s">
        <v>253</v>
      </c>
      <c r="S177" s="1" t="s">
        <v>254</v>
      </c>
      <c r="T177" s="1" t="s">
        <v>4144</v>
      </c>
      <c r="U177" s="1" t="s">
        <v>4145</v>
      </c>
      <c r="V177" s="1" t="s">
        <v>48</v>
      </c>
      <c r="W177" s="1" t="s">
        <v>48</v>
      </c>
      <c r="X177" s="1" t="s">
        <v>4146</v>
      </c>
      <c r="Y177" s="1" t="str">
        <f>HYPERLINK("http://dx.doi.org/10.1007/s11518-024-5617-9","http://dx.doi.org/10.1007/s11518-024-5617-9")</f>
        <v>http://dx.doi.org/10.1007/s11518-024-5617-9</v>
      </c>
      <c r="Z177" s="1">
        <v>39</v>
      </c>
      <c r="AA177" s="1" t="s">
        <v>580</v>
      </c>
      <c r="AB177" s="1" t="s">
        <v>67</v>
      </c>
      <c r="AC177" s="1" t="s">
        <v>580</v>
      </c>
      <c r="AD177" s="1" t="s">
        <v>48</v>
      </c>
      <c r="AE177" s="1" t="s">
        <v>48</v>
      </c>
    </row>
    <row r="178" spans="1:31" s="1" customFormat="1" ht="18.5" x14ac:dyDescent="0.45">
      <c r="A178" s="1" t="s">
        <v>3494</v>
      </c>
      <c r="B178" s="1" t="s">
        <v>3495</v>
      </c>
      <c r="C178" s="1" t="s">
        <v>4147</v>
      </c>
      <c r="D178" s="1" t="s">
        <v>4148</v>
      </c>
      <c r="E178" s="1" t="s">
        <v>53</v>
      </c>
      <c r="F178" s="1" t="s">
        <v>4149</v>
      </c>
      <c r="G178" s="1" t="s">
        <v>4150</v>
      </c>
      <c r="H178" s="1" t="s">
        <v>4151</v>
      </c>
      <c r="I178" s="2">
        <v>2024</v>
      </c>
      <c r="J178" s="1" t="s">
        <v>3498</v>
      </c>
      <c r="K178" s="1" t="s">
        <v>3499</v>
      </c>
      <c r="L178" s="1" t="s">
        <v>3500</v>
      </c>
      <c r="M178" s="1">
        <v>94</v>
      </c>
      <c r="N178" s="1">
        <v>0</v>
      </c>
      <c r="O178" s="1">
        <v>4</v>
      </c>
      <c r="P178" s="1">
        <v>4</v>
      </c>
      <c r="Q178" s="1" t="s">
        <v>198</v>
      </c>
      <c r="R178" s="1" t="s">
        <v>146</v>
      </c>
      <c r="S178" s="1" t="s">
        <v>199</v>
      </c>
      <c r="T178" s="1" t="s">
        <v>4152</v>
      </c>
      <c r="U178" s="1" t="s">
        <v>48</v>
      </c>
      <c r="V178" s="1">
        <v>25</v>
      </c>
      <c r="W178" s="1">
        <v>8</v>
      </c>
      <c r="X178" s="1" t="s">
        <v>4154</v>
      </c>
      <c r="Y178" s="1" t="str">
        <f>HYPERLINK("http://dx.doi.org/10.1080/14685248.2024.2371824","http://dx.doi.org/10.1080/14685248.2024.2371824")</f>
        <v>http://dx.doi.org/10.1080/14685248.2024.2371824</v>
      </c>
      <c r="Z178" s="1">
        <v>26</v>
      </c>
      <c r="AA178" s="1" t="s">
        <v>4155</v>
      </c>
      <c r="AB178" s="1" t="s">
        <v>67</v>
      </c>
      <c r="AC178" s="1" t="s">
        <v>4156</v>
      </c>
      <c r="AD178" s="1" t="s">
        <v>48</v>
      </c>
      <c r="AE178" s="1" t="s">
        <v>48</v>
      </c>
    </row>
    <row r="179" spans="1:31" s="1" customFormat="1" ht="18.5" x14ac:dyDescent="0.45">
      <c r="A179" s="1" t="s">
        <v>3664</v>
      </c>
      <c r="B179" s="1" t="s">
        <v>3665</v>
      </c>
      <c r="C179" s="1" t="s">
        <v>4157</v>
      </c>
      <c r="D179" s="1" t="s">
        <v>3667</v>
      </c>
      <c r="E179" s="1" t="s">
        <v>53</v>
      </c>
      <c r="F179" s="1" t="s">
        <v>4158</v>
      </c>
      <c r="G179" s="1" t="s">
        <v>4159</v>
      </c>
      <c r="H179" s="1" t="s">
        <v>4160</v>
      </c>
      <c r="I179" s="2">
        <v>2024</v>
      </c>
      <c r="J179" s="1" t="s">
        <v>3668</v>
      </c>
      <c r="K179" s="1" t="s">
        <v>3669</v>
      </c>
      <c r="L179" s="1" t="s">
        <v>4161</v>
      </c>
      <c r="M179" s="1">
        <v>45</v>
      </c>
      <c r="N179" s="1">
        <v>0</v>
      </c>
      <c r="O179" s="1">
        <v>0</v>
      </c>
      <c r="P179" s="1">
        <v>0</v>
      </c>
      <c r="Q179" s="1" t="s">
        <v>503</v>
      </c>
      <c r="R179" s="1" t="s">
        <v>504</v>
      </c>
      <c r="S179" s="1" t="s">
        <v>505</v>
      </c>
      <c r="T179" s="1" t="s">
        <v>3671</v>
      </c>
      <c r="U179" s="1" t="s">
        <v>48</v>
      </c>
      <c r="V179" s="1" t="s">
        <v>48</v>
      </c>
      <c r="W179" s="1">
        <v>6</v>
      </c>
      <c r="X179" s="1" t="s">
        <v>4163</v>
      </c>
      <c r="Y179" s="1" t="str">
        <f>HYPERLINK("http://dx.doi.org/10.1007/JHEP06(2024)095","http://dx.doi.org/10.1007/JHEP06(2024)095")</f>
        <v>http://dx.doi.org/10.1007/JHEP06(2024)095</v>
      </c>
      <c r="Z179" s="1">
        <v>35</v>
      </c>
      <c r="AA179" s="1" t="s">
        <v>3673</v>
      </c>
      <c r="AB179" s="1" t="s">
        <v>67</v>
      </c>
      <c r="AC179" s="1" t="s">
        <v>670</v>
      </c>
      <c r="AD179" s="1" t="s">
        <v>48</v>
      </c>
      <c r="AE179" s="1" t="s">
        <v>125</v>
      </c>
    </row>
    <row r="180" spans="1:31" s="1" customFormat="1" ht="18.5" x14ac:dyDescent="0.45">
      <c r="A180" s="1" t="s">
        <v>4164</v>
      </c>
      <c r="B180" s="1" t="s">
        <v>4165</v>
      </c>
      <c r="C180" s="1" t="s">
        <v>4166</v>
      </c>
      <c r="D180" s="1" t="s">
        <v>4167</v>
      </c>
      <c r="E180" s="1" t="s">
        <v>53</v>
      </c>
      <c r="F180" s="1" t="s">
        <v>4168</v>
      </c>
      <c r="G180" s="1" t="s">
        <v>4169</v>
      </c>
      <c r="H180" s="1" t="s">
        <v>4170</v>
      </c>
      <c r="I180" s="2">
        <v>2024</v>
      </c>
      <c r="J180" s="1" t="s">
        <v>4171</v>
      </c>
      <c r="K180" s="1" t="s">
        <v>58</v>
      </c>
      <c r="L180" s="1" t="s">
        <v>4172</v>
      </c>
      <c r="M180" s="1">
        <v>66</v>
      </c>
      <c r="N180" s="1">
        <v>0</v>
      </c>
      <c r="O180" s="1">
        <v>2</v>
      </c>
      <c r="P180" s="1">
        <v>2</v>
      </c>
      <c r="Q180" s="1" t="s">
        <v>198</v>
      </c>
      <c r="R180" s="1" t="s">
        <v>146</v>
      </c>
      <c r="S180" s="1" t="s">
        <v>199</v>
      </c>
      <c r="T180" s="1" t="s">
        <v>4173</v>
      </c>
      <c r="U180" s="1" t="s">
        <v>4174</v>
      </c>
      <c r="V180" s="1">
        <v>50</v>
      </c>
      <c r="W180" s="1">
        <v>12</v>
      </c>
      <c r="X180" s="1" t="s">
        <v>4175</v>
      </c>
      <c r="Y180" s="1" t="str">
        <f>HYPERLINK("http://dx.doi.org/10.1080/08927022.2024.2355285","http://dx.doi.org/10.1080/08927022.2024.2355285")</f>
        <v>http://dx.doi.org/10.1080/08927022.2024.2355285</v>
      </c>
      <c r="Z180" s="1">
        <v>17</v>
      </c>
      <c r="AA180" s="1" t="s">
        <v>2595</v>
      </c>
      <c r="AB180" s="1" t="s">
        <v>67</v>
      </c>
      <c r="AC180" s="1" t="s">
        <v>2596</v>
      </c>
      <c r="AD180" s="1" t="s">
        <v>48</v>
      </c>
      <c r="AE180" s="1" t="s">
        <v>48</v>
      </c>
    </row>
    <row r="181" spans="1:31" s="1" customFormat="1" ht="18.5" x14ac:dyDescent="0.45">
      <c r="A181" s="1" t="s">
        <v>4181</v>
      </c>
      <c r="B181" s="1" t="s">
        <v>4182</v>
      </c>
      <c r="C181" s="1" t="s">
        <v>4183</v>
      </c>
      <c r="D181" s="1" t="s">
        <v>4184</v>
      </c>
      <c r="E181" s="1" t="s">
        <v>53</v>
      </c>
      <c r="F181" s="1" t="s">
        <v>4185</v>
      </c>
      <c r="G181" s="1" t="s">
        <v>4186</v>
      </c>
      <c r="H181" s="1" t="s">
        <v>4187</v>
      </c>
      <c r="I181" s="2">
        <v>2024</v>
      </c>
      <c r="J181" s="1" t="s">
        <v>4188</v>
      </c>
      <c r="K181" s="1" t="s">
        <v>58</v>
      </c>
      <c r="L181" s="1" t="s">
        <v>4189</v>
      </c>
      <c r="M181" s="1">
        <v>69</v>
      </c>
      <c r="N181" s="1">
        <v>10</v>
      </c>
      <c r="O181" s="1">
        <v>2</v>
      </c>
      <c r="P181" s="1">
        <v>9</v>
      </c>
      <c r="Q181" s="1" t="s">
        <v>958</v>
      </c>
      <c r="R181" s="1" t="s">
        <v>632</v>
      </c>
      <c r="S181" s="1" t="s">
        <v>959</v>
      </c>
      <c r="T181" s="1" t="s">
        <v>4190</v>
      </c>
      <c r="U181" s="1" t="s">
        <v>4191</v>
      </c>
      <c r="V181" s="1">
        <v>35</v>
      </c>
      <c r="W181" s="1">
        <v>3</v>
      </c>
      <c r="X181" s="1" t="s">
        <v>4192</v>
      </c>
      <c r="Y181" s="1" t="str">
        <f>HYPERLINK("http://dx.doi.org/10.1177/0958305X221140571","http://dx.doi.org/10.1177/0958305X221140571")</f>
        <v>http://dx.doi.org/10.1177/0958305X221140571</v>
      </c>
      <c r="Z181" s="1">
        <v>19</v>
      </c>
      <c r="AA181" s="1" t="s">
        <v>4193</v>
      </c>
      <c r="AB181" s="1" t="s">
        <v>106</v>
      </c>
      <c r="AC181" s="1" t="s">
        <v>439</v>
      </c>
      <c r="AD181" s="1" t="s">
        <v>48</v>
      </c>
      <c r="AE181" s="1" t="s">
        <v>48</v>
      </c>
    </row>
    <row r="182" spans="1:31" s="1" customFormat="1" ht="18.5" x14ac:dyDescent="0.45">
      <c r="A182" s="1" t="s">
        <v>4212</v>
      </c>
      <c r="B182" s="1" t="s">
        <v>4213</v>
      </c>
      <c r="C182" s="1" t="s">
        <v>4214</v>
      </c>
      <c r="D182" s="1" t="s">
        <v>1241</v>
      </c>
      <c r="E182" s="1" t="s">
        <v>111</v>
      </c>
      <c r="F182" s="1" t="s">
        <v>4215</v>
      </c>
      <c r="G182" s="1" t="s">
        <v>4216</v>
      </c>
      <c r="H182" s="1" t="s">
        <v>4217</v>
      </c>
      <c r="I182" s="2">
        <v>2024</v>
      </c>
      <c r="J182" s="1" t="s">
        <v>4218</v>
      </c>
      <c r="K182" s="1" t="s">
        <v>4219</v>
      </c>
      <c r="L182" s="1" t="s">
        <v>227</v>
      </c>
      <c r="M182" s="1">
        <v>61</v>
      </c>
      <c r="N182" s="1">
        <v>3</v>
      </c>
      <c r="O182" s="1">
        <v>0</v>
      </c>
      <c r="P182" s="1">
        <v>3</v>
      </c>
      <c r="Q182" s="1" t="s">
        <v>1242</v>
      </c>
      <c r="R182" s="1" t="s">
        <v>1243</v>
      </c>
      <c r="S182" s="1" t="s">
        <v>1244</v>
      </c>
      <c r="T182" s="1" t="s">
        <v>1245</v>
      </c>
      <c r="U182" s="1" t="s">
        <v>1246</v>
      </c>
      <c r="V182" s="1" t="s">
        <v>48</v>
      </c>
      <c r="W182" s="1" t="s">
        <v>48</v>
      </c>
      <c r="X182" s="1" t="s">
        <v>4220</v>
      </c>
      <c r="Y182" s="1" t="str">
        <f>HYPERLINK("http://dx.doi.org/10.1080/02286203.2024.2334979","http://dx.doi.org/10.1080/02286203.2024.2334979")</f>
        <v>http://dx.doi.org/10.1080/02286203.2024.2334979</v>
      </c>
      <c r="Z182" s="1">
        <v>17</v>
      </c>
      <c r="AA182" s="1" t="s">
        <v>1248</v>
      </c>
      <c r="AB182" s="1" t="s">
        <v>124</v>
      </c>
      <c r="AC182" s="1" t="s">
        <v>1249</v>
      </c>
      <c r="AD182" s="1" t="s">
        <v>48</v>
      </c>
      <c r="AE182" s="1" t="s">
        <v>48</v>
      </c>
    </row>
    <row r="183" spans="1:31" s="1" customFormat="1" ht="18.5" x14ac:dyDescent="0.45">
      <c r="A183" s="1" t="s">
        <v>4236</v>
      </c>
      <c r="B183" s="1" t="s">
        <v>4237</v>
      </c>
      <c r="C183" s="1" t="s">
        <v>4238</v>
      </c>
      <c r="D183" s="1" t="s">
        <v>4239</v>
      </c>
      <c r="E183" s="1" t="s">
        <v>53</v>
      </c>
      <c r="F183" s="1" t="s">
        <v>4240</v>
      </c>
      <c r="G183" s="1" t="s">
        <v>48</v>
      </c>
      <c r="H183" s="1" t="s">
        <v>4241</v>
      </c>
      <c r="I183" s="2">
        <v>2024</v>
      </c>
      <c r="J183" s="1" t="s">
        <v>4242</v>
      </c>
      <c r="K183" s="1" t="s">
        <v>58</v>
      </c>
      <c r="L183" s="1" t="s">
        <v>4243</v>
      </c>
      <c r="M183" s="1">
        <v>2</v>
      </c>
      <c r="N183" s="1">
        <v>0</v>
      </c>
      <c r="O183" s="1">
        <v>0</v>
      </c>
      <c r="P183" s="1">
        <v>0</v>
      </c>
      <c r="Q183" s="1" t="s">
        <v>803</v>
      </c>
      <c r="R183" s="1" t="s">
        <v>239</v>
      </c>
      <c r="S183" s="1" t="s">
        <v>804</v>
      </c>
      <c r="T183" s="1" t="s">
        <v>4244</v>
      </c>
      <c r="U183" s="1" t="s">
        <v>4245</v>
      </c>
      <c r="V183" s="1">
        <v>29</v>
      </c>
      <c r="W183" s="1">
        <v>12</v>
      </c>
      <c r="X183" s="1" t="s">
        <v>4246</v>
      </c>
      <c r="Y183" s="1" t="str">
        <f>HYPERLINK("http://dx.doi.org/10.1007/s12045-024-1709-6","http://dx.doi.org/10.1007/s12045-024-1709-6")</f>
        <v>http://dx.doi.org/10.1007/s12045-024-1709-6</v>
      </c>
      <c r="Z183" s="1">
        <v>4</v>
      </c>
      <c r="AA183" s="1" t="s">
        <v>4247</v>
      </c>
      <c r="AB183" s="1" t="s">
        <v>124</v>
      </c>
      <c r="AC183" s="1" t="s">
        <v>998</v>
      </c>
      <c r="AD183" s="1" t="s">
        <v>48</v>
      </c>
      <c r="AE183" s="1" t="s">
        <v>48</v>
      </c>
    </row>
    <row r="184" spans="1:31" s="1" customFormat="1" ht="18.5" x14ac:dyDescent="0.45">
      <c r="A184" s="1" t="s">
        <v>4306</v>
      </c>
      <c r="B184" s="1" t="s">
        <v>4307</v>
      </c>
      <c r="C184" s="1" t="s">
        <v>4308</v>
      </c>
      <c r="D184" s="1" t="s">
        <v>443</v>
      </c>
      <c r="E184" s="1" t="s">
        <v>444</v>
      </c>
      <c r="F184" s="1" t="s">
        <v>48</v>
      </c>
      <c r="G184" s="1" t="s">
        <v>48</v>
      </c>
      <c r="H184" s="1" t="s">
        <v>48</v>
      </c>
      <c r="I184" s="2">
        <v>2024</v>
      </c>
      <c r="J184" s="1" t="s">
        <v>4309</v>
      </c>
      <c r="K184" s="1" t="s">
        <v>58</v>
      </c>
      <c r="L184" s="1" t="s">
        <v>4310</v>
      </c>
      <c r="M184" s="1">
        <v>5</v>
      </c>
      <c r="N184" s="1">
        <v>0</v>
      </c>
      <c r="O184" s="1">
        <v>0</v>
      </c>
      <c r="P184" s="1">
        <v>0</v>
      </c>
      <c r="Q184" s="1" t="s">
        <v>448</v>
      </c>
      <c r="R184" s="1" t="s">
        <v>449</v>
      </c>
      <c r="S184" s="1" t="s">
        <v>450</v>
      </c>
      <c r="T184" s="1" t="s">
        <v>451</v>
      </c>
      <c r="U184" s="1" t="s">
        <v>48</v>
      </c>
      <c r="V184" s="1">
        <v>127</v>
      </c>
      <c r="W184" s="1">
        <v>7</v>
      </c>
      <c r="X184" s="1" t="s">
        <v>48</v>
      </c>
      <c r="Y184" s="1" t="s">
        <v>48</v>
      </c>
      <c r="Z184" s="1">
        <v>2</v>
      </c>
      <c r="AA184" s="1" t="s">
        <v>335</v>
      </c>
      <c r="AB184" s="1" t="s">
        <v>67</v>
      </c>
      <c r="AC184" s="1" t="s">
        <v>336</v>
      </c>
      <c r="AD184" s="1" t="s">
        <v>48</v>
      </c>
      <c r="AE184" s="1" t="s">
        <v>48</v>
      </c>
    </row>
    <row r="185" spans="1:31" s="1" customFormat="1" ht="18.5" x14ac:dyDescent="0.45">
      <c r="A185" s="1" t="s">
        <v>4311</v>
      </c>
      <c r="B185" s="1" t="s">
        <v>4312</v>
      </c>
      <c r="C185" s="1" t="s">
        <v>4313</v>
      </c>
      <c r="D185" s="1" t="s">
        <v>3470</v>
      </c>
      <c r="E185" s="1" t="s">
        <v>53</v>
      </c>
      <c r="F185" s="1" t="s">
        <v>4314</v>
      </c>
      <c r="G185" s="1" t="s">
        <v>4315</v>
      </c>
      <c r="H185" s="1" t="s">
        <v>4316</v>
      </c>
      <c r="I185" s="2">
        <v>2024</v>
      </c>
      <c r="J185" s="1" t="s">
        <v>4317</v>
      </c>
      <c r="K185" s="1" t="s">
        <v>58</v>
      </c>
      <c r="L185" s="1" t="s">
        <v>3233</v>
      </c>
      <c r="M185" s="1">
        <v>49</v>
      </c>
      <c r="N185" s="1">
        <v>0</v>
      </c>
      <c r="O185" s="1">
        <v>2</v>
      </c>
      <c r="P185" s="1">
        <v>2</v>
      </c>
      <c r="Q185" s="1" t="s">
        <v>2989</v>
      </c>
      <c r="R185" s="1" t="s">
        <v>2990</v>
      </c>
      <c r="S185" s="1" t="s">
        <v>2991</v>
      </c>
      <c r="T185" s="1" t="s">
        <v>3477</v>
      </c>
      <c r="U185" s="1" t="s">
        <v>48</v>
      </c>
      <c r="V185" s="1">
        <v>9</v>
      </c>
      <c r="W185" s="1">
        <v>40</v>
      </c>
      <c r="X185" s="1" t="s">
        <v>4318</v>
      </c>
      <c r="Y185" s="1" t="str">
        <f>HYPERLINK("http://dx.doi.org/10.1002/slct.202402366","http://dx.doi.org/10.1002/slct.202402366")</f>
        <v>http://dx.doi.org/10.1002/slct.202402366</v>
      </c>
      <c r="Z185" s="1">
        <v>12</v>
      </c>
      <c r="AA185" s="1" t="s">
        <v>2292</v>
      </c>
      <c r="AB185" s="1" t="s">
        <v>67</v>
      </c>
      <c r="AC185" s="1" t="s">
        <v>2293</v>
      </c>
      <c r="AD185" s="1" t="s">
        <v>48</v>
      </c>
      <c r="AE185" s="1" t="s">
        <v>48</v>
      </c>
    </row>
    <row r="186" spans="1:31" s="1" customFormat="1" ht="18.5" x14ac:dyDescent="0.45">
      <c r="A186" s="1" t="s">
        <v>4319</v>
      </c>
      <c r="B186" s="1" t="s">
        <v>4320</v>
      </c>
      <c r="C186" s="1" t="s">
        <v>4321</v>
      </c>
      <c r="D186" s="1" t="s">
        <v>4322</v>
      </c>
      <c r="E186" s="1" t="s">
        <v>53</v>
      </c>
      <c r="F186" s="1" t="s">
        <v>4323</v>
      </c>
      <c r="G186" s="1" t="s">
        <v>4324</v>
      </c>
      <c r="H186" s="1" t="s">
        <v>4325</v>
      </c>
      <c r="I186" s="2">
        <v>2024</v>
      </c>
      <c r="J186" s="1" t="s">
        <v>4326</v>
      </c>
      <c r="K186" s="1" t="s">
        <v>4327</v>
      </c>
      <c r="L186" s="1" t="s">
        <v>4328</v>
      </c>
      <c r="M186" s="1">
        <v>102</v>
      </c>
      <c r="N186" s="1">
        <v>13</v>
      </c>
      <c r="O186" s="1">
        <v>44</v>
      </c>
      <c r="P186" s="1">
        <v>129</v>
      </c>
      <c r="Q186" s="1" t="s">
        <v>530</v>
      </c>
      <c r="R186" s="1" t="s">
        <v>531</v>
      </c>
      <c r="S186" s="1" t="s">
        <v>532</v>
      </c>
      <c r="T186" s="1" t="s">
        <v>4329</v>
      </c>
      <c r="U186" s="1" t="s">
        <v>4330</v>
      </c>
      <c r="V186" s="1">
        <v>79</v>
      </c>
      <c r="W186" s="1">
        <v>2</v>
      </c>
      <c r="X186" s="1" t="s">
        <v>4331</v>
      </c>
      <c r="Y186" s="1" t="str">
        <f>HYPERLINK("http://dx.doi.org/10.1108/TR-12-2022-0621","http://dx.doi.org/10.1108/TR-12-2022-0621")</f>
        <v>http://dx.doi.org/10.1108/TR-12-2022-0621</v>
      </c>
      <c r="Z186" s="1">
        <v>23</v>
      </c>
      <c r="AA186" s="1" t="s">
        <v>4332</v>
      </c>
      <c r="AB186" s="1" t="s">
        <v>106</v>
      </c>
      <c r="AC186" s="1" t="s">
        <v>461</v>
      </c>
      <c r="AD186" s="1" t="s">
        <v>48</v>
      </c>
      <c r="AE186" s="1" t="s">
        <v>4333</v>
      </c>
    </row>
    <row r="187" spans="1:31" s="1" customFormat="1" ht="18.5" x14ac:dyDescent="0.45">
      <c r="A187" s="1" t="s">
        <v>4334</v>
      </c>
      <c r="B187" s="1" t="s">
        <v>4335</v>
      </c>
      <c r="C187" s="1" t="s">
        <v>4336</v>
      </c>
      <c r="D187" s="1" t="s">
        <v>4337</v>
      </c>
      <c r="E187" s="1" t="s">
        <v>53</v>
      </c>
      <c r="F187" s="1" t="s">
        <v>4338</v>
      </c>
      <c r="G187" s="1" t="s">
        <v>4339</v>
      </c>
      <c r="H187" s="1" t="s">
        <v>4340</v>
      </c>
      <c r="I187" s="2">
        <v>2024</v>
      </c>
      <c r="J187" s="1" t="s">
        <v>4341</v>
      </c>
      <c r="K187" s="1" t="s">
        <v>3557</v>
      </c>
      <c r="L187" s="1" t="s">
        <v>4342</v>
      </c>
      <c r="M187" s="1">
        <v>52</v>
      </c>
      <c r="N187" s="1">
        <v>0</v>
      </c>
      <c r="O187" s="1">
        <v>1</v>
      </c>
      <c r="P187" s="1">
        <v>1</v>
      </c>
      <c r="Q187" s="1" t="s">
        <v>4343</v>
      </c>
      <c r="R187" s="1" t="s">
        <v>4344</v>
      </c>
      <c r="S187" s="1" t="s">
        <v>4345</v>
      </c>
      <c r="T187" s="1" t="s">
        <v>4346</v>
      </c>
      <c r="U187" s="1" t="s">
        <v>4347</v>
      </c>
      <c r="V187" s="1">
        <v>24</v>
      </c>
      <c r="W187" s="1">
        <v>11</v>
      </c>
      <c r="X187" s="1" t="s">
        <v>4348</v>
      </c>
      <c r="Y187" s="1" t="str">
        <f>HYPERLINK("http://dx.doi.org/10.4194/TRJFAS24166","http://dx.doi.org/10.4194/TRJFAS24166")</f>
        <v>http://dx.doi.org/10.4194/TRJFAS24166</v>
      </c>
      <c r="Z187" s="1">
        <v>9</v>
      </c>
      <c r="AA187" s="1" t="s">
        <v>4108</v>
      </c>
      <c r="AB187" s="1" t="s">
        <v>67</v>
      </c>
      <c r="AC187" s="1" t="s">
        <v>4108</v>
      </c>
      <c r="AD187" s="1" t="s">
        <v>48</v>
      </c>
      <c r="AE187" s="1" t="s">
        <v>125</v>
      </c>
    </row>
    <row r="188" spans="1:31" s="1" customFormat="1" ht="18.5" x14ac:dyDescent="0.45">
      <c r="A188" s="1" t="s">
        <v>4349</v>
      </c>
      <c r="B188" s="1" t="s">
        <v>4350</v>
      </c>
      <c r="C188" s="1" t="s">
        <v>4351</v>
      </c>
      <c r="D188" s="1" t="s">
        <v>4352</v>
      </c>
      <c r="E188" s="1" t="s">
        <v>53</v>
      </c>
      <c r="F188" s="1" t="s">
        <v>4353</v>
      </c>
      <c r="G188" s="1" t="s">
        <v>4354</v>
      </c>
      <c r="H188" s="1" t="s">
        <v>4355</v>
      </c>
      <c r="I188" s="2">
        <v>2024</v>
      </c>
      <c r="J188" s="1" t="s">
        <v>4356</v>
      </c>
      <c r="K188" s="1" t="s">
        <v>3900</v>
      </c>
      <c r="L188" s="1" t="s">
        <v>3901</v>
      </c>
      <c r="M188" s="1">
        <v>61</v>
      </c>
      <c r="N188" s="1">
        <v>2</v>
      </c>
      <c r="O188" s="1">
        <v>0</v>
      </c>
      <c r="P188" s="1">
        <v>1</v>
      </c>
      <c r="Q188" s="1" t="s">
        <v>2270</v>
      </c>
      <c r="R188" s="1" t="s">
        <v>2271</v>
      </c>
      <c r="S188" s="1" t="s">
        <v>2272</v>
      </c>
      <c r="T188" s="1" t="s">
        <v>4357</v>
      </c>
      <c r="U188" s="1" t="s">
        <v>4358</v>
      </c>
      <c r="V188" s="1">
        <v>11</v>
      </c>
      <c r="W188" s="1">
        <v>6</v>
      </c>
      <c r="X188" s="1" t="s">
        <v>4359</v>
      </c>
      <c r="Y188" s="1" t="str">
        <f>HYPERLINK("http://dx.doi.org/10.1007/s40571-024-00761-8","http://dx.doi.org/10.1007/s40571-024-00761-8")</f>
        <v>http://dx.doi.org/10.1007/s40571-024-00761-8</v>
      </c>
      <c r="Z188" s="1">
        <v>25</v>
      </c>
      <c r="AA188" s="1" t="s">
        <v>4360</v>
      </c>
      <c r="AB188" s="1" t="s">
        <v>67</v>
      </c>
      <c r="AC188" s="1" t="s">
        <v>4361</v>
      </c>
      <c r="AD188" s="1" t="s">
        <v>48</v>
      </c>
      <c r="AE188" s="1" t="s">
        <v>48</v>
      </c>
    </row>
    <row r="189" spans="1:31" s="1" customFormat="1" ht="18.5" x14ac:dyDescent="0.45">
      <c r="A189" s="1" t="s">
        <v>4362</v>
      </c>
      <c r="B189" s="1" t="s">
        <v>4363</v>
      </c>
      <c r="C189" s="1" t="s">
        <v>4364</v>
      </c>
      <c r="D189" s="1" t="s">
        <v>404</v>
      </c>
      <c r="E189" s="1" t="s">
        <v>53</v>
      </c>
      <c r="F189" s="1" t="s">
        <v>48</v>
      </c>
      <c r="G189" s="1" t="s">
        <v>4365</v>
      </c>
      <c r="H189" s="1" t="s">
        <v>4366</v>
      </c>
      <c r="I189" s="2">
        <v>2024</v>
      </c>
      <c r="J189" s="1" t="s">
        <v>4367</v>
      </c>
      <c r="K189" s="1" t="s">
        <v>2374</v>
      </c>
      <c r="L189" s="1" t="s">
        <v>4368</v>
      </c>
      <c r="M189" s="1">
        <v>56</v>
      </c>
      <c r="N189" s="1">
        <v>22</v>
      </c>
      <c r="O189" s="1">
        <v>7</v>
      </c>
      <c r="P189" s="1">
        <v>13</v>
      </c>
      <c r="Q189" s="1" t="s">
        <v>410</v>
      </c>
      <c r="R189" s="1" t="s">
        <v>411</v>
      </c>
      <c r="S189" s="1" t="s">
        <v>412</v>
      </c>
      <c r="T189" s="1" t="s">
        <v>413</v>
      </c>
      <c r="U189" s="1" t="s">
        <v>48</v>
      </c>
      <c r="V189" s="1">
        <v>14</v>
      </c>
      <c r="W189" s="1">
        <v>1</v>
      </c>
      <c r="X189" s="1" t="s">
        <v>4369</v>
      </c>
      <c r="Y189" s="1" t="str">
        <f>HYPERLINK("http://dx.doi.org/10.1038/s41598-023-51040-0","http://dx.doi.org/10.1038/s41598-023-51040-0")</f>
        <v>http://dx.doi.org/10.1038/s41598-023-51040-0</v>
      </c>
      <c r="Z189" s="1">
        <v>10</v>
      </c>
      <c r="AA189" s="1" t="s">
        <v>335</v>
      </c>
      <c r="AB189" s="1" t="s">
        <v>67</v>
      </c>
      <c r="AC189" s="1" t="s">
        <v>336</v>
      </c>
      <c r="AD189" s="1">
        <v>38168613</v>
      </c>
      <c r="AE189" s="1" t="s">
        <v>125</v>
      </c>
    </row>
    <row r="190" spans="1:31" s="1" customFormat="1" ht="18.5" x14ac:dyDescent="0.45">
      <c r="A190" s="1" t="s">
        <v>4394</v>
      </c>
      <c r="B190" s="1" t="s">
        <v>4395</v>
      </c>
      <c r="C190" s="1" t="s">
        <v>4396</v>
      </c>
      <c r="D190" s="1" t="s">
        <v>4397</v>
      </c>
      <c r="E190" s="1" t="s">
        <v>111</v>
      </c>
      <c r="F190" s="1" t="s">
        <v>4398</v>
      </c>
      <c r="G190" s="1" t="s">
        <v>4399</v>
      </c>
      <c r="H190" s="1" t="s">
        <v>4400</v>
      </c>
      <c r="I190" s="2">
        <v>2024</v>
      </c>
      <c r="J190" s="1" t="s">
        <v>4401</v>
      </c>
      <c r="K190" s="1" t="s">
        <v>4402</v>
      </c>
      <c r="L190" s="1" t="s">
        <v>4403</v>
      </c>
      <c r="M190" s="1">
        <v>12</v>
      </c>
      <c r="N190" s="1">
        <v>0</v>
      </c>
      <c r="O190" s="1">
        <v>0</v>
      </c>
      <c r="P190" s="1">
        <v>0</v>
      </c>
      <c r="Q190" s="1" t="s">
        <v>803</v>
      </c>
      <c r="R190" s="1" t="s">
        <v>239</v>
      </c>
      <c r="S190" s="1" t="s">
        <v>804</v>
      </c>
      <c r="T190" s="1" t="s">
        <v>4404</v>
      </c>
      <c r="U190" s="1" t="s">
        <v>4405</v>
      </c>
      <c r="V190" s="1" t="s">
        <v>48</v>
      </c>
      <c r="W190" s="1" t="s">
        <v>48</v>
      </c>
      <c r="X190" s="1" t="s">
        <v>4406</v>
      </c>
      <c r="Y190" s="1" t="str">
        <f>HYPERLINK("http://dx.doi.org/10.1007/s40009-024-01467-4","http://dx.doi.org/10.1007/s40009-024-01467-4")</f>
        <v>http://dx.doi.org/10.1007/s40009-024-01467-4</v>
      </c>
      <c r="Z190" s="1">
        <v>5</v>
      </c>
      <c r="AA190" s="1" t="s">
        <v>335</v>
      </c>
      <c r="AB190" s="1" t="s">
        <v>67</v>
      </c>
      <c r="AC190" s="1" t="s">
        <v>336</v>
      </c>
      <c r="AD190" s="1" t="s">
        <v>48</v>
      </c>
      <c r="AE190" s="1" t="s">
        <v>48</v>
      </c>
    </row>
    <row r="191" spans="1:31" s="1" customFormat="1" ht="18.5" x14ac:dyDescent="0.45">
      <c r="A191" s="1" t="s">
        <v>4407</v>
      </c>
      <c r="B191" s="1" t="s">
        <v>4408</v>
      </c>
      <c r="C191" s="1" t="s">
        <v>4409</v>
      </c>
      <c r="D191" s="1" t="s">
        <v>4410</v>
      </c>
      <c r="E191" s="1" t="s">
        <v>111</v>
      </c>
      <c r="F191" s="1" t="s">
        <v>4411</v>
      </c>
      <c r="G191" s="1" t="s">
        <v>4412</v>
      </c>
      <c r="H191" s="1" t="s">
        <v>4413</v>
      </c>
      <c r="I191" s="2">
        <v>2024</v>
      </c>
      <c r="J191" s="1" t="s">
        <v>4414</v>
      </c>
      <c r="K191" s="1" t="s">
        <v>58</v>
      </c>
      <c r="L191" s="1" t="s">
        <v>3273</v>
      </c>
      <c r="M191" s="1">
        <v>63</v>
      </c>
      <c r="N191" s="1">
        <v>0</v>
      </c>
      <c r="O191" s="1">
        <v>0</v>
      </c>
      <c r="P191" s="1">
        <v>0</v>
      </c>
      <c r="Q191" s="1" t="s">
        <v>145</v>
      </c>
      <c r="R191" s="1" t="s">
        <v>146</v>
      </c>
      <c r="S191" s="1" t="s">
        <v>147</v>
      </c>
      <c r="T191" s="1" t="s">
        <v>4415</v>
      </c>
      <c r="U191" s="1" t="s">
        <v>4416</v>
      </c>
      <c r="V191" s="1" t="s">
        <v>48</v>
      </c>
      <c r="W191" s="1" t="s">
        <v>48</v>
      </c>
      <c r="X191" s="1" t="s">
        <v>4417</v>
      </c>
      <c r="Y191" s="1" t="str">
        <f>HYPERLINK("http://dx.doi.org/10.1080/13668803.2024.2412701","http://dx.doi.org/10.1080/13668803.2024.2412701")</f>
        <v>http://dx.doi.org/10.1080/13668803.2024.2412701</v>
      </c>
      <c r="Z191" s="1">
        <v>26</v>
      </c>
      <c r="AA191" s="1" t="s">
        <v>4418</v>
      </c>
      <c r="AB191" s="1" t="s">
        <v>124</v>
      </c>
      <c r="AC191" s="1" t="s">
        <v>4418</v>
      </c>
      <c r="AD191" s="1" t="s">
        <v>48</v>
      </c>
      <c r="AE191" s="1" t="s">
        <v>48</v>
      </c>
    </row>
    <row r="192" spans="1:31" s="1" customFormat="1" ht="18.5" x14ac:dyDescent="0.45">
      <c r="A192" s="1" t="s">
        <v>4419</v>
      </c>
      <c r="B192" s="1" t="s">
        <v>4420</v>
      </c>
      <c r="C192" s="1" t="s">
        <v>4421</v>
      </c>
      <c r="D192" s="1" t="s">
        <v>4422</v>
      </c>
      <c r="E192" s="1" t="s">
        <v>53</v>
      </c>
      <c r="F192" s="1" t="s">
        <v>4423</v>
      </c>
      <c r="G192" s="1" t="s">
        <v>4424</v>
      </c>
      <c r="H192" s="1" t="s">
        <v>4425</v>
      </c>
      <c r="I192" s="2">
        <v>2024</v>
      </c>
      <c r="J192" s="1" t="s">
        <v>4426</v>
      </c>
      <c r="K192" s="1" t="s">
        <v>58</v>
      </c>
      <c r="L192" s="1" t="s">
        <v>4427</v>
      </c>
      <c r="M192" s="1">
        <v>37</v>
      </c>
      <c r="N192" s="1">
        <v>0</v>
      </c>
      <c r="O192" s="1">
        <v>1</v>
      </c>
      <c r="P192" s="1">
        <v>1</v>
      </c>
      <c r="Q192" s="1" t="s">
        <v>198</v>
      </c>
      <c r="R192" s="1" t="s">
        <v>146</v>
      </c>
      <c r="S192" s="1" t="s">
        <v>199</v>
      </c>
      <c r="T192" s="1" t="s">
        <v>4428</v>
      </c>
      <c r="U192" s="1" t="s">
        <v>4429</v>
      </c>
      <c r="V192" s="1">
        <v>77</v>
      </c>
      <c r="W192" s="1" t="s">
        <v>4432</v>
      </c>
      <c r="X192" s="1" t="s">
        <v>4433</v>
      </c>
      <c r="Y192" s="1" t="str">
        <f>HYPERLINK("http://dx.doi.org/10.1080/00958972.2024.2397801","http://dx.doi.org/10.1080/00958972.2024.2397801")</f>
        <v>http://dx.doi.org/10.1080/00958972.2024.2397801</v>
      </c>
      <c r="Z192" s="1">
        <v>15</v>
      </c>
      <c r="AA192" s="1" t="s">
        <v>4434</v>
      </c>
      <c r="AB192" s="1" t="s">
        <v>67</v>
      </c>
      <c r="AC192" s="1" t="s">
        <v>2293</v>
      </c>
      <c r="AD192" s="1" t="s">
        <v>48</v>
      </c>
      <c r="AE192" s="1" t="s">
        <v>48</v>
      </c>
    </row>
    <row r="193" spans="1:31" s="1" customFormat="1" ht="18.5" x14ac:dyDescent="0.45">
      <c r="A193" s="1" t="s">
        <v>4435</v>
      </c>
      <c r="B193" s="1" t="s">
        <v>4436</v>
      </c>
      <c r="C193" s="1" t="s">
        <v>4437</v>
      </c>
      <c r="D193" s="1" t="s">
        <v>4438</v>
      </c>
      <c r="E193" s="1" t="s">
        <v>1114</v>
      </c>
      <c r="F193" s="1" t="s">
        <v>4439</v>
      </c>
      <c r="G193" s="1" t="s">
        <v>4440</v>
      </c>
      <c r="H193" s="1" t="s">
        <v>4441</v>
      </c>
      <c r="I193" s="2">
        <v>2024</v>
      </c>
      <c r="J193" s="1" t="s">
        <v>4442</v>
      </c>
      <c r="K193" s="1" t="s">
        <v>58</v>
      </c>
      <c r="L193" s="1" t="s">
        <v>4443</v>
      </c>
      <c r="M193" s="1">
        <v>96</v>
      </c>
      <c r="N193" s="1">
        <v>0</v>
      </c>
      <c r="O193" s="1">
        <v>13</v>
      </c>
      <c r="P193" s="1">
        <v>18</v>
      </c>
      <c r="Q193" s="1" t="s">
        <v>2360</v>
      </c>
      <c r="R193" s="1" t="s">
        <v>2361</v>
      </c>
      <c r="S193" s="1" t="s">
        <v>2362</v>
      </c>
      <c r="T193" s="1" t="s">
        <v>4444</v>
      </c>
      <c r="U193" s="1" t="s">
        <v>4445</v>
      </c>
      <c r="V193" s="1">
        <v>28</v>
      </c>
      <c r="W193" s="1">
        <v>18</v>
      </c>
      <c r="X193" s="1" t="s">
        <v>4446</v>
      </c>
      <c r="Y193" s="1" t="str">
        <f>HYPERLINK("http://dx.doi.org/10.2174/0113852728283702240605113835","http://dx.doi.org/10.2174/0113852728283702240605113835")</f>
        <v>http://dx.doi.org/10.2174/0113852728283702240605113835</v>
      </c>
      <c r="Z193" s="1">
        <v>17</v>
      </c>
      <c r="AA193" s="1" t="s">
        <v>2366</v>
      </c>
      <c r="AB193" s="1" t="s">
        <v>67</v>
      </c>
      <c r="AC193" s="1" t="s">
        <v>2293</v>
      </c>
      <c r="AD193" s="1" t="s">
        <v>48</v>
      </c>
      <c r="AE193" s="1" t="s">
        <v>48</v>
      </c>
    </row>
    <row r="194" spans="1:31" s="1" customFormat="1" ht="18.5" x14ac:dyDescent="0.45">
      <c r="A194" s="1" t="s">
        <v>3868</v>
      </c>
      <c r="B194" s="1" t="s">
        <v>4447</v>
      </c>
      <c r="C194" s="1" t="s">
        <v>4448</v>
      </c>
      <c r="D194" s="1" t="s">
        <v>2575</v>
      </c>
      <c r="E194" s="1" t="s">
        <v>53</v>
      </c>
      <c r="F194" s="1" t="s">
        <v>4449</v>
      </c>
      <c r="G194" s="1" t="s">
        <v>48</v>
      </c>
      <c r="H194" s="1" t="s">
        <v>4450</v>
      </c>
      <c r="I194" s="2">
        <v>2024</v>
      </c>
      <c r="J194" s="1" t="s">
        <v>4451</v>
      </c>
      <c r="K194" s="1" t="s">
        <v>3697</v>
      </c>
      <c r="L194" s="1" t="s">
        <v>3698</v>
      </c>
      <c r="M194" s="1">
        <v>39</v>
      </c>
      <c r="N194" s="1">
        <v>2</v>
      </c>
      <c r="O194" s="1">
        <v>1</v>
      </c>
      <c r="P194" s="1">
        <v>4</v>
      </c>
      <c r="Q194" s="1" t="s">
        <v>503</v>
      </c>
      <c r="R194" s="1" t="s">
        <v>542</v>
      </c>
      <c r="S194" s="1" t="s">
        <v>543</v>
      </c>
      <c r="T194" s="1" t="s">
        <v>2581</v>
      </c>
      <c r="U194" s="1" t="s">
        <v>2582</v>
      </c>
      <c r="V194" s="1">
        <v>83</v>
      </c>
      <c r="W194" s="1">
        <v>6</v>
      </c>
      <c r="X194" s="1" t="s">
        <v>4452</v>
      </c>
      <c r="Y194" s="1" t="str">
        <f>HYPERLINK("http://dx.doi.org/10.1007/s11042-023-16125-y","http://dx.doi.org/10.1007/s11042-023-16125-y")</f>
        <v>http://dx.doi.org/10.1007/s11042-023-16125-y</v>
      </c>
      <c r="Z194" s="1">
        <v>21</v>
      </c>
      <c r="AA194" s="1" t="s">
        <v>2586</v>
      </c>
      <c r="AB194" s="1" t="s">
        <v>67</v>
      </c>
      <c r="AC194" s="1" t="s">
        <v>389</v>
      </c>
      <c r="AD194" s="1" t="s">
        <v>48</v>
      </c>
      <c r="AE194" s="1" t="s">
        <v>48</v>
      </c>
    </row>
    <row r="195" spans="1:31" s="1" customFormat="1" ht="18.5" x14ac:dyDescent="0.45">
      <c r="A195" s="1" t="s">
        <v>3494</v>
      </c>
      <c r="B195" s="1" t="s">
        <v>3495</v>
      </c>
      <c r="C195" s="1" t="s">
        <v>4482</v>
      </c>
      <c r="D195" s="1" t="s">
        <v>4483</v>
      </c>
      <c r="E195" s="1" t="s">
        <v>53</v>
      </c>
      <c r="F195" s="1" t="s">
        <v>4484</v>
      </c>
      <c r="G195" s="1" t="s">
        <v>4485</v>
      </c>
      <c r="H195" s="1" t="s">
        <v>4486</v>
      </c>
      <c r="I195" s="2">
        <v>2024</v>
      </c>
      <c r="J195" s="1" t="s">
        <v>3823</v>
      </c>
      <c r="K195" s="1" t="s">
        <v>3499</v>
      </c>
      <c r="L195" s="1" t="s">
        <v>3824</v>
      </c>
      <c r="M195" s="1">
        <v>76</v>
      </c>
      <c r="N195" s="1">
        <v>4</v>
      </c>
      <c r="O195" s="1">
        <v>1</v>
      </c>
      <c r="P195" s="1">
        <v>4</v>
      </c>
      <c r="Q195" s="1" t="s">
        <v>215</v>
      </c>
      <c r="R195" s="1" t="s">
        <v>158</v>
      </c>
      <c r="S195" s="1" t="s">
        <v>216</v>
      </c>
      <c r="T195" s="1" t="s">
        <v>4487</v>
      </c>
      <c r="U195" s="1" t="s">
        <v>4488</v>
      </c>
      <c r="V195" s="1">
        <v>291</v>
      </c>
      <c r="W195" s="1" t="s">
        <v>48</v>
      </c>
      <c r="X195" s="1" t="s">
        <v>4489</v>
      </c>
      <c r="Y195" s="1" t="str">
        <f>HYPERLINK("http://dx.doi.org/10.1016/j.oceaneng.2023.116332","http://dx.doi.org/10.1016/j.oceaneng.2023.116332")</f>
        <v>http://dx.doi.org/10.1016/j.oceaneng.2023.116332</v>
      </c>
      <c r="Z195" s="1">
        <v>21</v>
      </c>
      <c r="AA195" s="1" t="s">
        <v>4490</v>
      </c>
      <c r="AB195" s="1" t="s">
        <v>67</v>
      </c>
      <c r="AC195" s="1" t="s">
        <v>4491</v>
      </c>
      <c r="AD195" s="1" t="s">
        <v>48</v>
      </c>
      <c r="AE195" s="1" t="s">
        <v>550</v>
      </c>
    </row>
    <row r="196" spans="1:31" s="1" customFormat="1" ht="18.5" x14ac:dyDescent="0.45">
      <c r="A196" s="1" t="s">
        <v>4516</v>
      </c>
      <c r="B196" s="1" t="s">
        <v>4517</v>
      </c>
      <c r="C196" s="1" t="s">
        <v>4518</v>
      </c>
      <c r="D196" s="1" t="s">
        <v>404</v>
      </c>
      <c r="E196" s="1" t="s">
        <v>53</v>
      </c>
      <c r="F196" s="1" t="s">
        <v>48</v>
      </c>
      <c r="G196" s="1" t="s">
        <v>4519</v>
      </c>
      <c r="H196" s="1" t="s">
        <v>4520</v>
      </c>
      <c r="I196" s="2">
        <v>2024</v>
      </c>
      <c r="J196" s="1" t="s">
        <v>4521</v>
      </c>
      <c r="K196" s="1" t="s">
        <v>3475</v>
      </c>
      <c r="L196" s="1" t="s">
        <v>4046</v>
      </c>
      <c r="M196" s="1">
        <v>68</v>
      </c>
      <c r="N196" s="1">
        <v>3</v>
      </c>
      <c r="O196" s="1">
        <v>6</v>
      </c>
      <c r="P196" s="1">
        <v>6</v>
      </c>
      <c r="Q196" s="1" t="s">
        <v>410</v>
      </c>
      <c r="R196" s="1" t="s">
        <v>411</v>
      </c>
      <c r="S196" s="1" t="s">
        <v>412</v>
      </c>
      <c r="T196" s="1" t="s">
        <v>413</v>
      </c>
      <c r="U196" s="1" t="s">
        <v>48</v>
      </c>
      <c r="V196" s="1">
        <v>14</v>
      </c>
      <c r="W196" s="1">
        <v>1</v>
      </c>
      <c r="X196" s="1" t="s">
        <v>4522</v>
      </c>
      <c r="Y196" s="1" t="str">
        <f>HYPERLINK("http://dx.doi.org/10.1038/s41598-024-69530-0","http://dx.doi.org/10.1038/s41598-024-69530-0")</f>
        <v>http://dx.doi.org/10.1038/s41598-024-69530-0</v>
      </c>
      <c r="Z196" s="1">
        <v>12</v>
      </c>
      <c r="AA196" s="1" t="s">
        <v>335</v>
      </c>
      <c r="AB196" s="1" t="s">
        <v>67</v>
      </c>
      <c r="AC196" s="1" t="s">
        <v>336</v>
      </c>
      <c r="AD196" s="1">
        <v>39134583</v>
      </c>
      <c r="AE196" s="1" t="s">
        <v>337</v>
      </c>
    </row>
    <row r="197" spans="1:31" s="1" customFormat="1" ht="18.5" x14ac:dyDescent="0.45">
      <c r="A197" s="1" t="s">
        <v>4523</v>
      </c>
      <c r="B197" s="1" t="s">
        <v>4524</v>
      </c>
      <c r="C197" s="1" t="s">
        <v>4525</v>
      </c>
      <c r="D197" s="1" t="s">
        <v>4526</v>
      </c>
      <c r="E197" s="1" t="s">
        <v>53</v>
      </c>
      <c r="F197" s="1" t="s">
        <v>48</v>
      </c>
      <c r="G197" s="1" t="s">
        <v>4527</v>
      </c>
      <c r="H197" s="1" t="s">
        <v>4528</v>
      </c>
      <c r="I197" s="2">
        <v>2024</v>
      </c>
      <c r="J197" s="1" t="s">
        <v>4529</v>
      </c>
      <c r="K197" s="1" t="s">
        <v>58</v>
      </c>
      <c r="L197" s="1" t="s">
        <v>2330</v>
      </c>
      <c r="M197" s="1">
        <v>68</v>
      </c>
      <c r="N197" s="1">
        <v>0</v>
      </c>
      <c r="O197" s="1">
        <v>4</v>
      </c>
      <c r="P197" s="1">
        <v>5</v>
      </c>
      <c r="Q197" s="1" t="s">
        <v>2607</v>
      </c>
      <c r="R197" s="1" t="s">
        <v>361</v>
      </c>
      <c r="S197" s="1" t="s">
        <v>2608</v>
      </c>
      <c r="T197" s="1" t="s">
        <v>4530</v>
      </c>
      <c r="U197" s="1" t="s">
        <v>4531</v>
      </c>
      <c r="V197" s="1">
        <v>26</v>
      </c>
      <c r="W197" s="1">
        <v>13</v>
      </c>
      <c r="X197" s="1" t="s">
        <v>4532</v>
      </c>
      <c r="Y197" s="1" t="str">
        <f>HYPERLINK("http://dx.doi.org/10.1039/d3cp05662g","http://dx.doi.org/10.1039/d3cp05662g")</f>
        <v>http://dx.doi.org/10.1039/d3cp05662g</v>
      </c>
      <c r="Z197" s="1">
        <v>17</v>
      </c>
      <c r="AA197" s="1" t="s">
        <v>2595</v>
      </c>
      <c r="AB197" s="1" t="s">
        <v>67</v>
      </c>
      <c r="AC197" s="1" t="s">
        <v>2596</v>
      </c>
      <c r="AD197" s="1">
        <v>38482924</v>
      </c>
      <c r="AE197" s="1" t="s">
        <v>48</v>
      </c>
    </row>
    <row r="198" spans="1:31" s="1" customFormat="1" ht="18.5" x14ac:dyDescent="0.45">
      <c r="A198" s="1" t="s">
        <v>4533</v>
      </c>
      <c r="B198" s="1" t="s">
        <v>4534</v>
      </c>
      <c r="C198" s="1" t="s">
        <v>4535</v>
      </c>
      <c r="D198" s="1" t="s">
        <v>1222</v>
      </c>
      <c r="E198" s="1" t="s">
        <v>111</v>
      </c>
      <c r="F198" s="1" t="s">
        <v>4536</v>
      </c>
      <c r="G198" s="1" t="s">
        <v>4537</v>
      </c>
      <c r="H198" s="1" t="s">
        <v>4538</v>
      </c>
      <c r="I198" s="2">
        <v>2024</v>
      </c>
      <c r="J198" s="1" t="s">
        <v>4539</v>
      </c>
      <c r="K198" s="1" t="s">
        <v>115</v>
      </c>
      <c r="L198" s="1" t="s">
        <v>1224</v>
      </c>
      <c r="M198" s="1">
        <v>43</v>
      </c>
      <c r="N198" s="1">
        <v>0</v>
      </c>
      <c r="O198" s="1">
        <v>2</v>
      </c>
      <c r="P198" s="1">
        <v>2</v>
      </c>
      <c r="Q198" s="1" t="s">
        <v>958</v>
      </c>
      <c r="R198" s="1" t="s">
        <v>632</v>
      </c>
      <c r="S198" s="1" t="s">
        <v>959</v>
      </c>
      <c r="T198" s="1" t="s">
        <v>1225</v>
      </c>
      <c r="U198" s="1" t="s">
        <v>1226</v>
      </c>
      <c r="V198" s="1" t="s">
        <v>48</v>
      </c>
      <c r="W198" s="1" t="s">
        <v>48</v>
      </c>
      <c r="X198" s="1" t="s">
        <v>4540</v>
      </c>
      <c r="Y198" s="1" t="str">
        <f>HYPERLINK("http://dx.doi.org/10.1177/09721509231219318","http://dx.doi.org/10.1177/09721509231219318")</f>
        <v>http://dx.doi.org/10.1177/09721509231219318</v>
      </c>
      <c r="Z198" s="1">
        <v>21</v>
      </c>
      <c r="AA198" s="1" t="s">
        <v>1228</v>
      </c>
      <c r="AB198" s="1" t="s">
        <v>124</v>
      </c>
      <c r="AC198" s="1" t="s">
        <v>510</v>
      </c>
      <c r="AD198" s="1" t="s">
        <v>48</v>
      </c>
      <c r="AE198" s="1" t="s">
        <v>48</v>
      </c>
    </row>
    <row r="199" spans="1:31" s="1" customFormat="1" ht="18.5" x14ac:dyDescent="0.45">
      <c r="A199" s="1" t="s">
        <v>4562</v>
      </c>
      <c r="B199" s="1" t="s">
        <v>4563</v>
      </c>
      <c r="C199" s="1" t="s">
        <v>4564</v>
      </c>
      <c r="D199" s="1" t="s">
        <v>4565</v>
      </c>
      <c r="E199" s="1" t="s">
        <v>53</v>
      </c>
      <c r="F199" s="1" t="s">
        <v>4566</v>
      </c>
      <c r="G199" s="1" t="s">
        <v>4567</v>
      </c>
      <c r="H199" s="1" t="s">
        <v>4568</v>
      </c>
      <c r="I199" s="2">
        <v>2024</v>
      </c>
      <c r="J199" s="1" t="s">
        <v>4569</v>
      </c>
      <c r="K199" s="1" t="s">
        <v>58</v>
      </c>
      <c r="L199" s="1" t="s">
        <v>4570</v>
      </c>
      <c r="M199" s="1">
        <v>87</v>
      </c>
      <c r="N199" s="1">
        <v>0</v>
      </c>
      <c r="O199" s="1">
        <v>3</v>
      </c>
      <c r="P199" s="1">
        <v>6</v>
      </c>
      <c r="Q199" s="1" t="s">
        <v>4571</v>
      </c>
      <c r="R199" s="1" t="s">
        <v>4572</v>
      </c>
      <c r="S199" s="1" t="s">
        <v>4573</v>
      </c>
      <c r="T199" s="1" t="s">
        <v>4574</v>
      </c>
      <c r="U199" s="1" t="s">
        <v>4575</v>
      </c>
      <c r="V199" s="1">
        <v>47</v>
      </c>
      <c r="W199" s="1">
        <v>2</v>
      </c>
      <c r="X199" s="1" t="s">
        <v>4576</v>
      </c>
      <c r="Y199" s="1" t="str">
        <f>HYPERLINK("http://dx.doi.org/10.1007/s40415-024-00994-0","http://dx.doi.org/10.1007/s40415-024-00994-0")</f>
        <v>http://dx.doi.org/10.1007/s40415-024-00994-0</v>
      </c>
      <c r="Z199" s="1">
        <v>16</v>
      </c>
      <c r="AA199" s="1" t="s">
        <v>426</v>
      </c>
      <c r="AB199" s="1" t="s">
        <v>67</v>
      </c>
      <c r="AC199" s="1" t="s">
        <v>426</v>
      </c>
      <c r="AD199" s="1" t="s">
        <v>48</v>
      </c>
      <c r="AE199" s="1" t="s">
        <v>48</v>
      </c>
    </row>
    <row r="200" spans="1:31" s="1" customFormat="1" ht="18.5" x14ac:dyDescent="0.45">
      <c r="A200" s="1" t="s">
        <v>4577</v>
      </c>
      <c r="B200" s="1" t="s">
        <v>4578</v>
      </c>
      <c r="C200" s="1" t="s">
        <v>4579</v>
      </c>
      <c r="D200" s="1" t="s">
        <v>4580</v>
      </c>
      <c r="E200" s="1" t="s">
        <v>53</v>
      </c>
      <c r="F200" s="1" t="s">
        <v>4581</v>
      </c>
      <c r="G200" s="1" t="s">
        <v>4582</v>
      </c>
      <c r="H200" s="1" t="s">
        <v>4583</v>
      </c>
      <c r="I200" s="2">
        <v>2024</v>
      </c>
      <c r="J200" s="1" t="s">
        <v>4584</v>
      </c>
      <c r="K200" s="1" t="s">
        <v>4585</v>
      </c>
      <c r="L200" s="1" t="s">
        <v>4586</v>
      </c>
      <c r="M200" s="1">
        <v>87</v>
      </c>
      <c r="N200" s="1">
        <v>0</v>
      </c>
      <c r="O200" s="1">
        <v>2</v>
      </c>
      <c r="P200" s="1">
        <v>12</v>
      </c>
      <c r="Q200" s="1" t="s">
        <v>1168</v>
      </c>
      <c r="R200" s="1" t="s">
        <v>504</v>
      </c>
      <c r="S200" s="1" t="s">
        <v>1169</v>
      </c>
      <c r="T200" s="1" t="s">
        <v>4587</v>
      </c>
      <c r="U200" s="1" t="s">
        <v>4588</v>
      </c>
      <c r="V200" s="1">
        <v>298</v>
      </c>
      <c r="W200" s="1" t="s">
        <v>48</v>
      </c>
      <c r="X200" s="1" t="s">
        <v>4591</v>
      </c>
      <c r="Y200" s="1" t="str">
        <f>HYPERLINK("http://dx.doi.org/10.1016/j.atmosres.2023.107141","http://dx.doi.org/10.1016/j.atmosres.2023.107141")</f>
        <v>http://dx.doi.org/10.1016/j.atmosres.2023.107141</v>
      </c>
      <c r="Z200" s="1">
        <v>17</v>
      </c>
      <c r="AA200" s="1" t="s">
        <v>1112</v>
      </c>
      <c r="AB200" s="1" t="s">
        <v>67</v>
      </c>
      <c r="AC200" s="1" t="s">
        <v>1112</v>
      </c>
      <c r="AD200" s="1" t="s">
        <v>48</v>
      </c>
      <c r="AE200" s="1" t="s">
        <v>48</v>
      </c>
    </row>
    <row r="201" spans="1:31" s="1" customFormat="1" ht="18.5" x14ac:dyDescent="0.45">
      <c r="A201" s="1" t="s">
        <v>4631</v>
      </c>
      <c r="B201" s="1" t="s">
        <v>4632</v>
      </c>
      <c r="C201" s="1" t="s">
        <v>4633</v>
      </c>
      <c r="D201" s="1" t="s">
        <v>4634</v>
      </c>
      <c r="E201" s="1" t="s">
        <v>53</v>
      </c>
      <c r="F201" s="1" t="s">
        <v>4635</v>
      </c>
      <c r="G201" s="1" t="s">
        <v>4636</v>
      </c>
      <c r="H201" s="1" t="s">
        <v>4637</v>
      </c>
      <c r="I201" s="2">
        <v>2024</v>
      </c>
      <c r="J201" s="1" t="s">
        <v>4638</v>
      </c>
      <c r="K201" s="1" t="s">
        <v>4639</v>
      </c>
      <c r="L201" s="1" t="s">
        <v>4640</v>
      </c>
      <c r="M201" s="1">
        <v>53</v>
      </c>
      <c r="N201" s="1">
        <v>0</v>
      </c>
      <c r="O201" s="1">
        <v>0</v>
      </c>
      <c r="P201" s="1">
        <v>0</v>
      </c>
      <c r="Q201" s="1" t="s">
        <v>421</v>
      </c>
      <c r="R201" s="1" t="s">
        <v>422</v>
      </c>
      <c r="S201" s="1" t="s">
        <v>423</v>
      </c>
      <c r="T201" s="1" t="s">
        <v>4641</v>
      </c>
      <c r="U201" s="1" t="s">
        <v>48</v>
      </c>
      <c r="V201" s="1">
        <v>15</v>
      </c>
      <c r="W201" s="1" t="s">
        <v>48</v>
      </c>
      <c r="X201" s="1" t="s">
        <v>4642</v>
      </c>
      <c r="Y201" s="1" t="str">
        <f>HYPERLINK("http://dx.doi.org/10.3389/fimmu.2024.1448627","http://dx.doi.org/10.3389/fimmu.2024.1448627")</f>
        <v>http://dx.doi.org/10.3389/fimmu.2024.1448627</v>
      </c>
      <c r="Z201" s="1">
        <v>11</v>
      </c>
      <c r="AA201" s="1" t="s">
        <v>4643</v>
      </c>
      <c r="AB201" s="1" t="s">
        <v>67</v>
      </c>
      <c r="AC201" s="1" t="s">
        <v>4643</v>
      </c>
      <c r="AD201" s="1">
        <v>39493766</v>
      </c>
      <c r="AE201" s="1" t="s">
        <v>125</v>
      </c>
    </row>
    <row r="202" spans="1:31" s="1" customFormat="1" ht="18.5" x14ac:dyDescent="0.45">
      <c r="A202" s="1" t="s">
        <v>4666</v>
      </c>
      <c r="B202" s="1" t="s">
        <v>4667</v>
      </c>
      <c r="C202" s="1" t="s">
        <v>4668</v>
      </c>
      <c r="D202" s="1" t="s">
        <v>4669</v>
      </c>
      <c r="E202" s="1" t="s">
        <v>111</v>
      </c>
      <c r="F202" s="1" t="s">
        <v>4670</v>
      </c>
      <c r="G202" s="1" t="s">
        <v>4671</v>
      </c>
      <c r="H202" s="1" t="s">
        <v>4672</v>
      </c>
      <c r="I202" s="2">
        <v>2024</v>
      </c>
      <c r="J202" s="1" t="s">
        <v>4673</v>
      </c>
      <c r="K202" s="1" t="s">
        <v>4674</v>
      </c>
      <c r="L202" s="1" t="s">
        <v>4675</v>
      </c>
      <c r="M202" s="1">
        <v>58</v>
      </c>
      <c r="N202" s="1">
        <v>0</v>
      </c>
      <c r="O202" s="1">
        <v>1</v>
      </c>
      <c r="P202" s="1">
        <v>1</v>
      </c>
      <c r="Q202" s="1" t="s">
        <v>2331</v>
      </c>
      <c r="R202" s="1" t="s">
        <v>504</v>
      </c>
      <c r="S202" s="1" t="s">
        <v>2332</v>
      </c>
      <c r="T202" s="1" t="s">
        <v>4676</v>
      </c>
      <c r="U202" s="1" t="s">
        <v>4677</v>
      </c>
      <c r="V202" s="1" t="s">
        <v>48</v>
      </c>
      <c r="W202" s="1" t="s">
        <v>48</v>
      </c>
      <c r="X202" s="1" t="s">
        <v>4678</v>
      </c>
      <c r="Y202" s="1" t="str">
        <f>HYPERLINK("http://dx.doi.org/10.1007/s10484-024-09678-7","http://dx.doi.org/10.1007/s10484-024-09678-7")</f>
        <v>http://dx.doi.org/10.1007/s10484-024-09678-7</v>
      </c>
      <c r="Z202" s="1">
        <v>14</v>
      </c>
      <c r="AA202" s="1" t="s">
        <v>4679</v>
      </c>
      <c r="AB202" s="1" t="s">
        <v>106</v>
      </c>
      <c r="AC202" s="1" t="s">
        <v>3332</v>
      </c>
      <c r="AD202" s="1">
        <v>39602048</v>
      </c>
      <c r="AE202" s="1" t="s">
        <v>48</v>
      </c>
    </row>
    <row r="203" spans="1:31" s="1" customFormat="1" ht="18.5" x14ac:dyDescent="0.45">
      <c r="A203" s="1" t="s">
        <v>2231</v>
      </c>
      <c r="B203" s="1" t="s">
        <v>2232</v>
      </c>
      <c r="C203" s="1" t="s">
        <v>4680</v>
      </c>
      <c r="D203" s="1" t="s">
        <v>4681</v>
      </c>
      <c r="E203" s="1" t="s">
        <v>53</v>
      </c>
      <c r="F203" s="1" t="s">
        <v>4682</v>
      </c>
      <c r="G203" s="1" t="s">
        <v>4683</v>
      </c>
      <c r="H203" s="1" t="s">
        <v>4684</v>
      </c>
      <c r="I203" s="2">
        <v>2024</v>
      </c>
      <c r="J203" s="1" t="s">
        <v>4685</v>
      </c>
      <c r="K203" s="1" t="s">
        <v>3582</v>
      </c>
      <c r="L203" s="1" t="s">
        <v>4686</v>
      </c>
      <c r="M203" s="1">
        <v>28</v>
      </c>
      <c r="N203" s="1">
        <v>0</v>
      </c>
      <c r="O203" s="1">
        <v>0</v>
      </c>
      <c r="P203" s="1">
        <v>1</v>
      </c>
      <c r="Q203" s="1" t="s">
        <v>605</v>
      </c>
      <c r="R203" s="1" t="s">
        <v>239</v>
      </c>
      <c r="S203" s="1" t="s">
        <v>606</v>
      </c>
      <c r="T203" s="1" t="s">
        <v>4687</v>
      </c>
      <c r="U203" s="1" t="s">
        <v>4688</v>
      </c>
      <c r="V203" s="1">
        <v>26</v>
      </c>
      <c r="W203" s="1">
        <v>3</v>
      </c>
      <c r="X203" s="1" t="s">
        <v>4689</v>
      </c>
      <c r="Y203" s="1" t="str">
        <f>HYPERLINK("http://dx.doi.org/10.1177/09720634241244428","http://dx.doi.org/10.1177/09720634241244428")</f>
        <v>http://dx.doi.org/10.1177/09720634241244428</v>
      </c>
      <c r="Z203" s="1">
        <v>12</v>
      </c>
      <c r="AA203" s="1" t="s">
        <v>620</v>
      </c>
      <c r="AB203" s="1" t="s">
        <v>124</v>
      </c>
      <c r="AC203" s="1" t="s">
        <v>621</v>
      </c>
      <c r="AD203" s="1" t="s">
        <v>48</v>
      </c>
      <c r="AE203" s="1" t="s">
        <v>48</v>
      </c>
    </row>
    <row r="204" spans="1:31" s="1" customFormat="1" ht="18.5" x14ac:dyDescent="0.45">
      <c r="A204" s="1" t="s">
        <v>4746</v>
      </c>
      <c r="B204" s="1" t="s">
        <v>4747</v>
      </c>
      <c r="C204" s="1" t="s">
        <v>4748</v>
      </c>
      <c r="D204" s="1" t="s">
        <v>4749</v>
      </c>
      <c r="E204" s="1" t="s">
        <v>53</v>
      </c>
      <c r="F204" s="1" t="s">
        <v>4750</v>
      </c>
      <c r="G204" s="1" t="s">
        <v>4751</v>
      </c>
      <c r="H204" s="1" t="s">
        <v>4752</v>
      </c>
      <c r="I204" s="2">
        <v>2024</v>
      </c>
      <c r="J204" s="1" t="s">
        <v>4753</v>
      </c>
      <c r="K204" s="1" t="s">
        <v>4754</v>
      </c>
      <c r="L204" s="1" t="s">
        <v>4755</v>
      </c>
      <c r="M204" s="1">
        <v>41</v>
      </c>
      <c r="N204" s="1">
        <v>0</v>
      </c>
      <c r="O204" s="1">
        <v>2</v>
      </c>
      <c r="P204" s="1">
        <v>2</v>
      </c>
      <c r="Q204" s="1" t="s">
        <v>958</v>
      </c>
      <c r="R204" s="1" t="s">
        <v>632</v>
      </c>
      <c r="S204" s="1" t="s">
        <v>959</v>
      </c>
      <c r="T204" s="1" t="s">
        <v>4756</v>
      </c>
      <c r="U204" s="1" t="s">
        <v>4757</v>
      </c>
      <c r="V204" s="1">
        <v>43</v>
      </c>
      <c r="W204" s="1">
        <v>4</v>
      </c>
      <c r="X204" s="1" t="s">
        <v>4758</v>
      </c>
      <c r="Y204" s="1" t="str">
        <f>HYPERLINK("http://dx.doi.org/10.1177/14613484241272253","http://dx.doi.org/10.1177/14613484241272253")</f>
        <v>http://dx.doi.org/10.1177/14613484241272253</v>
      </c>
      <c r="Z204" s="1">
        <v>12</v>
      </c>
      <c r="AA204" s="1" t="s">
        <v>4759</v>
      </c>
      <c r="AB204" s="1" t="s">
        <v>67</v>
      </c>
      <c r="AC204" s="1" t="s">
        <v>4759</v>
      </c>
      <c r="AD204" s="1" t="s">
        <v>48</v>
      </c>
      <c r="AE204" s="1" t="s">
        <v>125</v>
      </c>
    </row>
    <row r="205" spans="1:31" s="1" customFormat="1" ht="18.5" x14ac:dyDescent="0.45">
      <c r="A205" s="1" t="s">
        <v>4785</v>
      </c>
      <c r="B205" s="1" t="s">
        <v>4786</v>
      </c>
      <c r="C205" s="1" t="s">
        <v>4787</v>
      </c>
      <c r="D205" s="1" t="s">
        <v>3334</v>
      </c>
      <c r="E205" s="1" t="s">
        <v>53</v>
      </c>
      <c r="F205" s="1" t="s">
        <v>4788</v>
      </c>
      <c r="G205" s="1" t="s">
        <v>48</v>
      </c>
      <c r="H205" s="1" t="s">
        <v>4789</v>
      </c>
      <c r="I205" s="2">
        <v>2024</v>
      </c>
      <c r="J205" s="1" t="s">
        <v>4790</v>
      </c>
      <c r="K205" s="1" t="s">
        <v>4791</v>
      </c>
      <c r="L205" s="1" t="s">
        <v>4792</v>
      </c>
      <c r="M205" s="1">
        <v>43</v>
      </c>
      <c r="N205" s="1">
        <v>0</v>
      </c>
      <c r="O205" s="1">
        <v>4</v>
      </c>
      <c r="P205" s="1">
        <v>4</v>
      </c>
      <c r="Q205" s="1" t="s">
        <v>3340</v>
      </c>
      <c r="R205" s="1" t="s">
        <v>471</v>
      </c>
      <c r="S205" s="1" t="s">
        <v>3341</v>
      </c>
      <c r="T205" s="1" t="s">
        <v>3342</v>
      </c>
      <c r="U205" s="1" t="s">
        <v>3343</v>
      </c>
      <c r="V205" s="1">
        <v>44</v>
      </c>
      <c r="W205" s="1">
        <v>5</v>
      </c>
      <c r="X205" s="1" t="s">
        <v>4793</v>
      </c>
      <c r="Y205" s="1" t="str">
        <f>HYPERLINK("http://dx.doi.org/10.14429/djlit.44.05.19597","http://dx.doi.org/10.14429/djlit.44.05.19597")</f>
        <v>http://dx.doi.org/10.14429/djlit.44.05.19597</v>
      </c>
      <c r="Z205" s="1">
        <v>14</v>
      </c>
      <c r="AA205" s="1" t="s">
        <v>1158</v>
      </c>
      <c r="AB205" s="1" t="s">
        <v>124</v>
      </c>
      <c r="AC205" s="1" t="s">
        <v>1158</v>
      </c>
      <c r="AD205" s="1" t="s">
        <v>48</v>
      </c>
      <c r="AE205" s="1" t="s">
        <v>48</v>
      </c>
    </row>
    <row r="206" spans="1:31" s="1" customFormat="1" ht="18.5" x14ac:dyDescent="0.45">
      <c r="A206" s="1" t="s">
        <v>4824</v>
      </c>
      <c r="B206" s="1" t="s">
        <v>4825</v>
      </c>
      <c r="C206" s="1" t="s">
        <v>4826</v>
      </c>
      <c r="D206" s="1" t="s">
        <v>2575</v>
      </c>
      <c r="E206" s="1" t="s">
        <v>111</v>
      </c>
      <c r="F206" s="1" t="s">
        <v>4827</v>
      </c>
      <c r="G206" s="1" t="s">
        <v>4828</v>
      </c>
      <c r="H206" s="1" t="s">
        <v>4829</v>
      </c>
      <c r="I206" s="2">
        <v>2024</v>
      </c>
      <c r="J206" s="1" t="s">
        <v>4830</v>
      </c>
      <c r="K206" s="1" t="s">
        <v>3520</v>
      </c>
      <c r="L206" s="1" t="s">
        <v>4831</v>
      </c>
      <c r="M206" s="1">
        <v>40</v>
      </c>
      <c r="N206" s="1">
        <v>2</v>
      </c>
      <c r="O206" s="1">
        <v>4</v>
      </c>
      <c r="P206" s="1">
        <v>9</v>
      </c>
      <c r="Q206" s="1" t="s">
        <v>503</v>
      </c>
      <c r="R206" s="1" t="s">
        <v>542</v>
      </c>
      <c r="S206" s="1" t="s">
        <v>543</v>
      </c>
      <c r="T206" s="1" t="s">
        <v>2581</v>
      </c>
      <c r="U206" s="1" t="s">
        <v>2582</v>
      </c>
      <c r="V206" s="1" t="s">
        <v>48</v>
      </c>
      <c r="W206" s="1" t="s">
        <v>48</v>
      </c>
      <c r="X206" s="1" t="s">
        <v>4832</v>
      </c>
      <c r="Y206" s="1" t="str">
        <f>HYPERLINK("http://dx.doi.org/10.1007/s11042-024-18183-2","http://dx.doi.org/10.1007/s11042-024-18183-2")</f>
        <v>http://dx.doi.org/10.1007/s11042-024-18183-2</v>
      </c>
      <c r="Z206" s="1">
        <v>22</v>
      </c>
      <c r="AA206" s="1" t="s">
        <v>2586</v>
      </c>
      <c r="AB206" s="1" t="s">
        <v>67</v>
      </c>
      <c r="AC206" s="1" t="s">
        <v>389</v>
      </c>
      <c r="AD206" s="1" t="s">
        <v>48</v>
      </c>
      <c r="AE206" s="1" t="s">
        <v>48</v>
      </c>
    </row>
    <row r="207" spans="1:31" s="1" customFormat="1" ht="18.5" x14ac:dyDescent="0.45">
      <c r="A207" s="1" t="s">
        <v>4845</v>
      </c>
      <c r="B207" s="1" t="s">
        <v>4846</v>
      </c>
      <c r="C207" s="1" t="s">
        <v>4847</v>
      </c>
      <c r="D207" s="1" t="s">
        <v>4848</v>
      </c>
      <c r="E207" s="1" t="s">
        <v>3750</v>
      </c>
      <c r="F207" s="1" t="s">
        <v>4849</v>
      </c>
      <c r="G207" s="1" t="s">
        <v>48</v>
      </c>
      <c r="H207" s="1" t="s">
        <v>4850</v>
      </c>
      <c r="I207" s="2">
        <v>2024</v>
      </c>
      <c r="J207" s="1" t="s">
        <v>4851</v>
      </c>
      <c r="K207" s="1" t="s">
        <v>4852</v>
      </c>
      <c r="L207" s="1" t="s">
        <v>4853</v>
      </c>
      <c r="M207" s="1">
        <v>7</v>
      </c>
      <c r="N207" s="1">
        <v>0</v>
      </c>
      <c r="O207" s="1">
        <v>0</v>
      </c>
      <c r="P207" s="1">
        <v>0</v>
      </c>
      <c r="Q207" s="1" t="s">
        <v>3754</v>
      </c>
      <c r="R207" s="1" t="s">
        <v>504</v>
      </c>
      <c r="S207" s="1" t="s">
        <v>3755</v>
      </c>
      <c r="T207" s="1" t="s">
        <v>4854</v>
      </c>
      <c r="U207" s="1" t="s">
        <v>48</v>
      </c>
      <c r="V207" s="1" t="s">
        <v>48</v>
      </c>
      <c r="W207" s="1" t="s">
        <v>48</v>
      </c>
      <c r="X207" s="1" t="s">
        <v>4855</v>
      </c>
      <c r="Y207" s="1" t="str">
        <f>HYPERLINK("http://dx.doi.org/10.1109/IGARSS53475.2024.10641048","http://dx.doi.org/10.1109/IGARSS53475.2024.10641048")</f>
        <v>http://dx.doi.org/10.1109/IGARSS53475.2024.10641048</v>
      </c>
      <c r="Z207" s="1">
        <v>4</v>
      </c>
      <c r="AA207" s="1" t="s">
        <v>4856</v>
      </c>
      <c r="AB207" s="1" t="s">
        <v>3758</v>
      </c>
      <c r="AC207" s="1" t="s">
        <v>4857</v>
      </c>
      <c r="AD207" s="1" t="s">
        <v>48</v>
      </c>
      <c r="AE207" s="1" t="s">
        <v>48</v>
      </c>
    </row>
    <row r="208" spans="1:31" s="1" customFormat="1" ht="18.5" x14ac:dyDescent="0.45">
      <c r="A208" s="1" t="s">
        <v>4879</v>
      </c>
      <c r="B208" s="1" t="s">
        <v>4880</v>
      </c>
      <c r="C208" s="1" t="s">
        <v>4881</v>
      </c>
      <c r="D208" s="1" t="s">
        <v>4882</v>
      </c>
      <c r="E208" s="1" t="s">
        <v>53</v>
      </c>
      <c r="F208" s="1" t="s">
        <v>4883</v>
      </c>
      <c r="G208" s="1" t="s">
        <v>4884</v>
      </c>
      <c r="H208" s="1" t="s">
        <v>4885</v>
      </c>
      <c r="I208" s="2">
        <v>2024</v>
      </c>
      <c r="J208" s="1" t="s">
        <v>4886</v>
      </c>
      <c r="K208" s="1" t="s">
        <v>4639</v>
      </c>
      <c r="L208" s="1" t="s">
        <v>4887</v>
      </c>
      <c r="M208" s="1">
        <v>37</v>
      </c>
      <c r="N208" s="1">
        <v>0</v>
      </c>
      <c r="O208" s="1">
        <v>1</v>
      </c>
      <c r="P208" s="1">
        <v>1</v>
      </c>
      <c r="Q208" s="1" t="s">
        <v>421</v>
      </c>
      <c r="R208" s="1" t="s">
        <v>422</v>
      </c>
      <c r="S208" s="1" t="s">
        <v>423</v>
      </c>
      <c r="T208" s="1" t="s">
        <v>48</v>
      </c>
      <c r="U208" s="1" t="s">
        <v>4888</v>
      </c>
      <c r="V208" s="1">
        <v>11</v>
      </c>
      <c r="W208" s="1" t="s">
        <v>48</v>
      </c>
      <c r="X208" s="1" t="s">
        <v>4889</v>
      </c>
      <c r="Y208" s="1" t="str">
        <f>HYPERLINK("http://dx.doi.org/10.3389/fmars.2024.1452775","http://dx.doi.org/10.3389/fmars.2024.1452775")</f>
        <v>http://dx.doi.org/10.3389/fmars.2024.1452775</v>
      </c>
      <c r="Z208" s="1">
        <v>11</v>
      </c>
      <c r="AA208" s="1" t="s">
        <v>4890</v>
      </c>
      <c r="AB208" s="1" t="s">
        <v>67</v>
      </c>
      <c r="AC208" s="1" t="s">
        <v>1451</v>
      </c>
      <c r="AD208" s="1" t="s">
        <v>48</v>
      </c>
      <c r="AE208" s="1" t="s">
        <v>125</v>
      </c>
    </row>
    <row r="209" spans="1:31" s="1" customFormat="1" ht="18.5" x14ac:dyDescent="0.45">
      <c r="A209" s="1" t="s">
        <v>4899</v>
      </c>
      <c r="B209" s="1" t="s">
        <v>4900</v>
      </c>
      <c r="C209" s="1" t="s">
        <v>4901</v>
      </c>
      <c r="D209" s="1" t="s">
        <v>4902</v>
      </c>
      <c r="E209" s="1" t="s">
        <v>53</v>
      </c>
      <c r="F209" s="1" t="s">
        <v>4903</v>
      </c>
      <c r="G209" s="1" t="s">
        <v>4904</v>
      </c>
      <c r="H209" s="1" t="s">
        <v>4905</v>
      </c>
      <c r="I209" s="2">
        <v>2024</v>
      </c>
      <c r="J209" s="1" t="s">
        <v>4906</v>
      </c>
      <c r="K209" s="1" t="s">
        <v>3900</v>
      </c>
      <c r="L209" s="1" t="s">
        <v>4907</v>
      </c>
      <c r="M209" s="1">
        <v>52</v>
      </c>
      <c r="N209" s="1">
        <v>9</v>
      </c>
      <c r="O209" s="1">
        <v>1</v>
      </c>
      <c r="P209" s="1">
        <v>2</v>
      </c>
      <c r="Q209" s="1" t="s">
        <v>1523</v>
      </c>
      <c r="R209" s="1" t="s">
        <v>632</v>
      </c>
      <c r="S209" s="1" t="s">
        <v>1524</v>
      </c>
      <c r="T209" s="1" t="s">
        <v>4908</v>
      </c>
      <c r="U209" s="1" t="s">
        <v>4909</v>
      </c>
      <c r="V209" s="1">
        <v>24</v>
      </c>
      <c r="W209" s="1">
        <v>3</v>
      </c>
      <c r="X209" s="1" t="s">
        <v>4910</v>
      </c>
      <c r="Y209" s="1" t="str">
        <f>HYPERLINK("http://dx.doi.org/10.1007/s43452-024-01010-8","http://dx.doi.org/10.1007/s43452-024-01010-8")</f>
        <v>http://dx.doi.org/10.1007/s43452-024-01010-8</v>
      </c>
      <c r="Z209" s="1">
        <v>23</v>
      </c>
      <c r="AA209" s="1" t="s">
        <v>4911</v>
      </c>
      <c r="AB209" s="1" t="s">
        <v>67</v>
      </c>
      <c r="AC209" s="1" t="s">
        <v>4912</v>
      </c>
      <c r="AD209" s="1" t="s">
        <v>48</v>
      </c>
      <c r="AE209" s="1" t="s">
        <v>48</v>
      </c>
    </row>
    <row r="210" spans="1:31" s="1" customFormat="1" ht="18.5" x14ac:dyDescent="0.45">
      <c r="A210" s="1" t="s">
        <v>4913</v>
      </c>
      <c r="B210" s="1" t="s">
        <v>4914</v>
      </c>
      <c r="C210" s="1" t="s">
        <v>4915</v>
      </c>
      <c r="D210" s="1" t="s">
        <v>4916</v>
      </c>
      <c r="E210" s="1" t="s">
        <v>53</v>
      </c>
      <c r="F210" s="1" t="s">
        <v>4917</v>
      </c>
      <c r="G210" s="1" t="s">
        <v>4918</v>
      </c>
      <c r="H210" s="1" t="s">
        <v>4919</v>
      </c>
      <c r="I210" s="2">
        <v>2024</v>
      </c>
      <c r="J210" s="1" t="s">
        <v>4920</v>
      </c>
      <c r="K210" s="1" t="s">
        <v>4256</v>
      </c>
      <c r="L210" s="1" t="s">
        <v>4921</v>
      </c>
      <c r="M210" s="1">
        <v>53</v>
      </c>
      <c r="N210" s="1">
        <v>0</v>
      </c>
      <c r="O210" s="1">
        <v>0</v>
      </c>
      <c r="P210" s="1">
        <v>0</v>
      </c>
      <c r="Q210" s="1" t="s">
        <v>803</v>
      </c>
      <c r="R210" s="1" t="s">
        <v>239</v>
      </c>
      <c r="S210" s="1" t="s">
        <v>804</v>
      </c>
      <c r="T210" s="1" t="s">
        <v>4922</v>
      </c>
      <c r="U210" s="1" t="s">
        <v>4923</v>
      </c>
      <c r="V210" s="1">
        <v>67</v>
      </c>
      <c r="W210" s="1">
        <v>3</v>
      </c>
      <c r="X210" s="1" t="s">
        <v>4924</v>
      </c>
      <c r="Y210" s="1" t="str">
        <f>HYPERLINK("http://dx.doi.org/10.1007/s13237-023-00459-x","http://dx.doi.org/10.1007/s13237-023-00459-x")</f>
        <v>http://dx.doi.org/10.1007/s13237-023-00459-x</v>
      </c>
      <c r="Z210" s="1">
        <v>16</v>
      </c>
      <c r="AA210" s="1" t="s">
        <v>4925</v>
      </c>
      <c r="AB210" s="1" t="s">
        <v>124</v>
      </c>
      <c r="AC210" s="1" t="s">
        <v>4925</v>
      </c>
      <c r="AD210" s="1" t="s">
        <v>48</v>
      </c>
      <c r="AE210" s="1" t="s">
        <v>48</v>
      </c>
    </row>
    <row r="211" spans="1:31" s="1" customFormat="1" ht="18.5" x14ac:dyDescent="0.45">
      <c r="A211" s="1" t="s">
        <v>4926</v>
      </c>
      <c r="B211" s="1" t="s">
        <v>4927</v>
      </c>
      <c r="C211" s="1" t="s">
        <v>4928</v>
      </c>
      <c r="D211" s="1" t="s">
        <v>2618</v>
      </c>
      <c r="E211" s="1" t="s">
        <v>53</v>
      </c>
      <c r="F211" s="1" t="s">
        <v>48</v>
      </c>
      <c r="G211" s="1" t="s">
        <v>4929</v>
      </c>
      <c r="H211" s="1" t="s">
        <v>4930</v>
      </c>
      <c r="I211" s="2">
        <v>2024</v>
      </c>
      <c r="J211" s="1" t="s">
        <v>4931</v>
      </c>
      <c r="K211" s="1" t="s">
        <v>4932</v>
      </c>
      <c r="L211" s="1" t="s">
        <v>4933</v>
      </c>
      <c r="M211" s="1">
        <v>63</v>
      </c>
      <c r="N211" s="1">
        <v>3</v>
      </c>
      <c r="O211" s="1">
        <v>2</v>
      </c>
      <c r="P211" s="1">
        <v>5</v>
      </c>
      <c r="Q211" s="1" t="s">
        <v>503</v>
      </c>
      <c r="R211" s="1" t="s">
        <v>542</v>
      </c>
      <c r="S211" s="1" t="s">
        <v>543</v>
      </c>
      <c r="T211" s="1" t="s">
        <v>2623</v>
      </c>
      <c r="U211" s="1" t="s">
        <v>2624</v>
      </c>
      <c r="V211" s="1">
        <v>35</v>
      </c>
      <c r="W211" s="1">
        <v>2</v>
      </c>
      <c r="X211" s="1" t="s">
        <v>4934</v>
      </c>
      <c r="Y211" s="1" t="str">
        <f>HYPERLINK("http://dx.doi.org/10.1007/s10854-024-11955-4","http://dx.doi.org/10.1007/s10854-024-11955-4")</f>
        <v>http://dx.doi.org/10.1007/s10854-024-11955-4</v>
      </c>
      <c r="Z211" s="1">
        <v>20</v>
      </c>
      <c r="AA211" s="1" t="s">
        <v>2628</v>
      </c>
      <c r="AB211" s="1" t="s">
        <v>67</v>
      </c>
      <c r="AC211" s="1" t="s">
        <v>2629</v>
      </c>
      <c r="AD211" s="1" t="s">
        <v>48</v>
      </c>
      <c r="AE211" s="1" t="s">
        <v>48</v>
      </c>
    </row>
    <row r="212" spans="1:31" s="1" customFormat="1" ht="18.5" x14ac:dyDescent="0.45">
      <c r="A212" s="1" t="s">
        <v>4935</v>
      </c>
      <c r="B212" s="1" t="s">
        <v>4936</v>
      </c>
      <c r="C212" s="1" t="s">
        <v>4937</v>
      </c>
      <c r="D212" s="1" t="s">
        <v>3835</v>
      </c>
      <c r="E212" s="1" t="s">
        <v>53</v>
      </c>
      <c r="F212" s="1" t="s">
        <v>4938</v>
      </c>
      <c r="G212" s="1" t="s">
        <v>4939</v>
      </c>
      <c r="H212" s="1" t="s">
        <v>4940</v>
      </c>
      <c r="I212" s="2">
        <v>2024</v>
      </c>
      <c r="J212" s="1" t="s">
        <v>4941</v>
      </c>
      <c r="K212" s="1" t="s">
        <v>58</v>
      </c>
      <c r="L212" s="1" t="s">
        <v>4942</v>
      </c>
      <c r="M212" s="1">
        <v>35</v>
      </c>
      <c r="N212" s="1">
        <v>3</v>
      </c>
      <c r="O212" s="1">
        <v>0</v>
      </c>
      <c r="P212" s="1">
        <v>1</v>
      </c>
      <c r="Q212" s="1" t="s">
        <v>503</v>
      </c>
      <c r="R212" s="1" t="s">
        <v>504</v>
      </c>
      <c r="S212" s="1" t="s">
        <v>505</v>
      </c>
      <c r="T212" s="1" t="s">
        <v>3840</v>
      </c>
      <c r="U212" s="1" t="s">
        <v>3841</v>
      </c>
      <c r="V212" s="1">
        <v>27</v>
      </c>
      <c r="W212" s="1">
        <v>4</v>
      </c>
      <c r="X212" s="1" t="s">
        <v>4943</v>
      </c>
      <c r="Y212" s="1" t="str">
        <f>HYPERLINK("http://dx.doi.org/10.1007/s10123-023-00451-0","http://dx.doi.org/10.1007/s10123-023-00451-0")</f>
        <v>http://dx.doi.org/10.1007/s10123-023-00451-0</v>
      </c>
      <c r="Z212" s="1">
        <v>11</v>
      </c>
      <c r="AA212" s="1" t="s">
        <v>123</v>
      </c>
      <c r="AB212" s="1" t="s">
        <v>67</v>
      </c>
      <c r="AC212" s="1" t="s">
        <v>123</v>
      </c>
      <c r="AD212" s="1">
        <v>37985632</v>
      </c>
      <c r="AE212" s="1" t="s">
        <v>2074</v>
      </c>
    </row>
    <row r="213" spans="1:31" s="1" customFormat="1" ht="18.5" x14ac:dyDescent="0.45">
      <c r="A213" s="1" t="s">
        <v>4981</v>
      </c>
      <c r="B213" s="1" t="s">
        <v>4982</v>
      </c>
      <c r="C213" s="1" t="s">
        <v>4983</v>
      </c>
      <c r="D213" s="1" t="s">
        <v>4984</v>
      </c>
      <c r="E213" s="1" t="s">
        <v>53</v>
      </c>
      <c r="F213" s="1" t="s">
        <v>4985</v>
      </c>
      <c r="G213" s="1" t="s">
        <v>48</v>
      </c>
      <c r="H213" s="1" t="s">
        <v>4986</v>
      </c>
      <c r="I213" s="2">
        <v>2024</v>
      </c>
      <c r="J213" s="1" t="s">
        <v>4987</v>
      </c>
      <c r="K213" s="1" t="s">
        <v>4256</v>
      </c>
      <c r="L213" s="1" t="s">
        <v>4988</v>
      </c>
      <c r="M213" s="1">
        <v>13</v>
      </c>
      <c r="N213" s="1">
        <v>0</v>
      </c>
      <c r="O213" s="1">
        <v>1</v>
      </c>
      <c r="P213" s="1">
        <v>4</v>
      </c>
      <c r="Q213" s="1" t="s">
        <v>347</v>
      </c>
      <c r="R213" s="1" t="s">
        <v>348</v>
      </c>
      <c r="S213" s="1" t="s">
        <v>349</v>
      </c>
      <c r="T213" s="1" t="s">
        <v>4989</v>
      </c>
      <c r="U213" s="1" t="s">
        <v>4990</v>
      </c>
      <c r="V213" s="1">
        <v>66</v>
      </c>
      <c r="W213" s="1">
        <v>2</v>
      </c>
      <c r="X213" s="1" t="s">
        <v>4991</v>
      </c>
      <c r="Y213" s="1" t="str">
        <f>HYPERLINK("http://dx.doi.org/10.1002/mop.34048","http://dx.doi.org/10.1002/mop.34048")</f>
        <v>http://dx.doi.org/10.1002/mop.34048</v>
      </c>
      <c r="Z213" s="1">
        <v>10</v>
      </c>
      <c r="AA213" s="1" t="s">
        <v>4992</v>
      </c>
      <c r="AB213" s="1" t="s">
        <v>67</v>
      </c>
      <c r="AC213" s="1" t="s">
        <v>4993</v>
      </c>
      <c r="AD213" s="1" t="s">
        <v>48</v>
      </c>
      <c r="AE213" s="1" t="s">
        <v>48</v>
      </c>
    </row>
    <row r="214" spans="1:31" s="1" customFormat="1" ht="18.5" x14ac:dyDescent="0.45">
      <c r="A214" s="1" t="s">
        <v>5011</v>
      </c>
      <c r="B214" s="1" t="s">
        <v>5012</v>
      </c>
      <c r="C214" s="1" t="s">
        <v>5013</v>
      </c>
      <c r="D214" s="1" t="s">
        <v>2604</v>
      </c>
      <c r="E214" s="1" t="s">
        <v>53</v>
      </c>
      <c r="F214" s="1" t="s">
        <v>48</v>
      </c>
      <c r="G214" s="1" t="s">
        <v>5014</v>
      </c>
      <c r="H214" s="1" t="s">
        <v>5015</v>
      </c>
      <c r="I214" s="2">
        <v>2024</v>
      </c>
      <c r="J214" s="1" t="s">
        <v>5016</v>
      </c>
      <c r="K214" s="1" t="s">
        <v>58</v>
      </c>
      <c r="L214" s="1" t="s">
        <v>2591</v>
      </c>
      <c r="M214" s="1">
        <v>61</v>
      </c>
      <c r="N214" s="1">
        <v>0</v>
      </c>
      <c r="O214" s="1">
        <v>1</v>
      </c>
      <c r="P214" s="1">
        <v>2</v>
      </c>
      <c r="Q214" s="1" t="s">
        <v>2607</v>
      </c>
      <c r="R214" s="1" t="s">
        <v>361</v>
      </c>
      <c r="S214" s="1" t="s">
        <v>2608</v>
      </c>
      <c r="T214" s="1" t="s">
        <v>2609</v>
      </c>
      <c r="U214" s="1" t="s">
        <v>2610</v>
      </c>
      <c r="V214" s="1">
        <v>48</v>
      </c>
      <c r="W214" s="1">
        <v>33</v>
      </c>
      <c r="X214" s="1" t="s">
        <v>5017</v>
      </c>
      <c r="Y214" s="1" t="str">
        <f>HYPERLINK("http://dx.doi.org/10.1039/d4nj02462a","http://dx.doi.org/10.1039/d4nj02462a")</f>
        <v>http://dx.doi.org/10.1039/d4nj02462a</v>
      </c>
      <c r="Z214" s="1">
        <v>13</v>
      </c>
      <c r="AA214" s="1" t="s">
        <v>2292</v>
      </c>
      <c r="AB214" s="1" t="s">
        <v>67</v>
      </c>
      <c r="AC214" s="1" t="s">
        <v>2293</v>
      </c>
      <c r="AD214" s="1" t="s">
        <v>48</v>
      </c>
      <c r="AE214" s="1" t="s">
        <v>48</v>
      </c>
    </row>
    <row r="215" spans="1:31" s="1" customFormat="1" ht="18.5" x14ac:dyDescent="0.45">
      <c r="A215" s="1" t="s">
        <v>5018</v>
      </c>
      <c r="B215" s="1" t="s">
        <v>5019</v>
      </c>
      <c r="C215" s="1" t="s">
        <v>5020</v>
      </c>
      <c r="D215" s="1" t="s">
        <v>1030</v>
      </c>
      <c r="E215" s="1" t="s">
        <v>53</v>
      </c>
      <c r="F215" s="1" t="s">
        <v>5021</v>
      </c>
      <c r="G215" s="1" t="s">
        <v>48</v>
      </c>
      <c r="H215" s="1" t="s">
        <v>5022</v>
      </c>
      <c r="I215" s="2">
        <v>2024</v>
      </c>
      <c r="J215" s="1" t="s">
        <v>5023</v>
      </c>
      <c r="K215" s="1" t="s">
        <v>58</v>
      </c>
      <c r="L215" s="1" t="s">
        <v>5024</v>
      </c>
      <c r="M215" s="1">
        <v>32</v>
      </c>
      <c r="N215" s="1">
        <v>3</v>
      </c>
      <c r="O215" s="1">
        <v>0</v>
      </c>
      <c r="P215" s="1">
        <v>1</v>
      </c>
      <c r="Q215" s="1" t="s">
        <v>252</v>
      </c>
      <c r="R215" s="1" t="s">
        <v>253</v>
      </c>
      <c r="S215" s="1" t="s">
        <v>254</v>
      </c>
      <c r="T215" s="1" t="s">
        <v>1036</v>
      </c>
      <c r="U215" s="1" t="s">
        <v>1037</v>
      </c>
      <c r="V215" s="1">
        <v>70</v>
      </c>
      <c r="W215" s="1">
        <v>4</v>
      </c>
      <c r="X215" s="1" t="s">
        <v>5025</v>
      </c>
      <c r="Y215" s="1" t="str">
        <f>HYPERLINK("http://dx.doi.org/10.1007/s12190-024-02094-4","http://dx.doi.org/10.1007/s12190-024-02094-4")</f>
        <v>http://dx.doi.org/10.1007/s12190-024-02094-4</v>
      </c>
      <c r="Z215" s="1">
        <v>28</v>
      </c>
      <c r="AA215" s="1" t="s">
        <v>1041</v>
      </c>
      <c r="AB215" s="1" t="s">
        <v>67</v>
      </c>
      <c r="AC215" s="1" t="s">
        <v>137</v>
      </c>
      <c r="AD215" s="1" t="s">
        <v>48</v>
      </c>
      <c r="AE215" s="1" t="s">
        <v>48</v>
      </c>
    </row>
    <row r="216" spans="1:31" s="1" customFormat="1" ht="18.5" x14ac:dyDescent="0.45">
      <c r="A216" s="1" t="s">
        <v>5026</v>
      </c>
      <c r="B216" s="1" t="s">
        <v>5027</v>
      </c>
      <c r="C216" s="1" t="s">
        <v>5028</v>
      </c>
      <c r="D216" s="1" t="s">
        <v>5029</v>
      </c>
      <c r="E216" s="1" t="s">
        <v>53</v>
      </c>
      <c r="F216" s="1" t="s">
        <v>5030</v>
      </c>
      <c r="G216" s="1" t="s">
        <v>48</v>
      </c>
      <c r="H216" s="1" t="s">
        <v>5031</v>
      </c>
      <c r="I216" s="2">
        <v>2024</v>
      </c>
      <c r="J216" s="1" t="s">
        <v>5032</v>
      </c>
      <c r="K216" s="1" t="s">
        <v>3582</v>
      </c>
      <c r="L216" s="1" t="s">
        <v>5033</v>
      </c>
      <c r="M216" s="1">
        <v>46</v>
      </c>
      <c r="N216" s="1">
        <v>0</v>
      </c>
      <c r="O216" s="1">
        <v>1</v>
      </c>
      <c r="P216" s="1">
        <v>2</v>
      </c>
      <c r="Q216" s="1" t="s">
        <v>803</v>
      </c>
      <c r="R216" s="1" t="s">
        <v>239</v>
      </c>
      <c r="S216" s="1" t="s">
        <v>804</v>
      </c>
      <c r="T216" s="1" t="s">
        <v>5034</v>
      </c>
      <c r="U216" s="1" t="s">
        <v>5035</v>
      </c>
      <c r="V216" s="1">
        <v>26</v>
      </c>
      <c r="W216" s="1">
        <v>3</v>
      </c>
      <c r="X216" s="1" t="s">
        <v>5036</v>
      </c>
      <c r="Y216" s="1" t="str">
        <f>HYPERLINK("http://dx.doi.org/10.1007/s40847-023-00296-3","http://dx.doi.org/10.1007/s40847-023-00296-3")</f>
        <v>http://dx.doi.org/10.1007/s40847-023-00296-3</v>
      </c>
      <c r="Z216" s="1">
        <v>18</v>
      </c>
      <c r="AA216" s="1" t="s">
        <v>5037</v>
      </c>
      <c r="AB216" s="1" t="s">
        <v>124</v>
      </c>
      <c r="AC216" s="1" t="s">
        <v>5038</v>
      </c>
      <c r="AD216" s="1" t="s">
        <v>48</v>
      </c>
      <c r="AE216" s="1" t="s">
        <v>48</v>
      </c>
    </row>
    <row r="217" spans="1:31" s="1" customFormat="1" ht="18.5" x14ac:dyDescent="0.45">
      <c r="A217" s="1" t="s">
        <v>5045</v>
      </c>
      <c r="B217" s="1" t="s">
        <v>5046</v>
      </c>
      <c r="C217" s="1" t="s">
        <v>5047</v>
      </c>
      <c r="D217" s="1" t="s">
        <v>5048</v>
      </c>
      <c r="E217" s="1" t="s">
        <v>53</v>
      </c>
      <c r="F217" s="1" t="s">
        <v>5049</v>
      </c>
      <c r="G217" s="1" t="s">
        <v>5050</v>
      </c>
      <c r="H217" s="1" t="s">
        <v>5051</v>
      </c>
      <c r="I217" s="2">
        <v>2024</v>
      </c>
      <c r="J217" s="1" t="s">
        <v>5052</v>
      </c>
      <c r="K217" s="1" t="s">
        <v>5042</v>
      </c>
      <c r="L217" s="1" t="s">
        <v>4172</v>
      </c>
      <c r="M217" s="1">
        <v>25</v>
      </c>
      <c r="N217" s="1">
        <v>4</v>
      </c>
      <c r="O217" s="1">
        <v>0</v>
      </c>
      <c r="P217" s="1">
        <v>2</v>
      </c>
      <c r="Q217" s="1" t="s">
        <v>198</v>
      </c>
      <c r="R217" s="1" t="s">
        <v>146</v>
      </c>
      <c r="S217" s="1" t="s">
        <v>199</v>
      </c>
      <c r="T217" s="1" t="s">
        <v>5053</v>
      </c>
      <c r="U217" s="1" t="s">
        <v>5054</v>
      </c>
      <c r="V217" s="1">
        <v>104</v>
      </c>
      <c r="W217" s="1">
        <v>20</v>
      </c>
      <c r="X217" s="1" t="s">
        <v>5055</v>
      </c>
      <c r="Y217" s="1" t="str">
        <f>HYPERLINK("http://dx.doi.org/10.1080/03067319.2023.2221194","http://dx.doi.org/10.1080/03067319.2023.2221194")</f>
        <v>http://dx.doi.org/10.1080/03067319.2023.2221194</v>
      </c>
      <c r="Z217" s="1">
        <v>12</v>
      </c>
      <c r="AA217" s="1" t="s">
        <v>5056</v>
      </c>
      <c r="AB217" s="1" t="s">
        <v>67</v>
      </c>
      <c r="AC217" s="1" t="s">
        <v>5057</v>
      </c>
      <c r="AD217" s="1" t="s">
        <v>48</v>
      </c>
      <c r="AE217" s="1" t="s">
        <v>48</v>
      </c>
    </row>
    <row r="218" spans="1:31" s="1" customFormat="1" ht="18.5" x14ac:dyDescent="0.45">
      <c r="A218" s="1" t="s">
        <v>5083</v>
      </c>
      <c r="B218" s="1" t="s">
        <v>5084</v>
      </c>
      <c r="C218" s="1" t="s">
        <v>5085</v>
      </c>
      <c r="D218" s="1" t="s">
        <v>5086</v>
      </c>
      <c r="E218" s="1" t="s">
        <v>53</v>
      </c>
      <c r="F218" s="1" t="s">
        <v>5087</v>
      </c>
      <c r="G218" s="1" t="s">
        <v>5088</v>
      </c>
      <c r="H218" s="1" t="s">
        <v>5089</v>
      </c>
      <c r="I218" s="2">
        <v>2024</v>
      </c>
      <c r="J218" s="1" t="s">
        <v>5090</v>
      </c>
      <c r="K218" s="1" t="s">
        <v>5091</v>
      </c>
      <c r="L218" s="1" t="s">
        <v>5092</v>
      </c>
      <c r="M218" s="1">
        <v>69</v>
      </c>
      <c r="N218" s="1">
        <v>1</v>
      </c>
      <c r="O218" s="1">
        <v>1</v>
      </c>
      <c r="P218" s="1">
        <v>6</v>
      </c>
      <c r="Q218" s="1" t="s">
        <v>79</v>
      </c>
      <c r="R218" s="1" t="s">
        <v>80</v>
      </c>
      <c r="S218" s="1" t="s">
        <v>81</v>
      </c>
      <c r="T218" s="1" t="s">
        <v>5093</v>
      </c>
      <c r="U218" s="1" t="s">
        <v>5094</v>
      </c>
      <c r="V218" s="1">
        <v>487</v>
      </c>
      <c r="W218" s="1" t="s">
        <v>48</v>
      </c>
      <c r="X218" s="1" t="s">
        <v>5095</v>
      </c>
      <c r="Y218" s="1" t="str">
        <f>HYPERLINK("http://dx.doi.org/10.1016/j.ecolmodel.2023.110561","http://dx.doi.org/10.1016/j.ecolmodel.2023.110561")</f>
        <v>http://dx.doi.org/10.1016/j.ecolmodel.2023.110561</v>
      </c>
      <c r="Z218" s="1">
        <v>16</v>
      </c>
      <c r="AA218" s="1" t="s">
        <v>5096</v>
      </c>
      <c r="AB218" s="1" t="s">
        <v>67</v>
      </c>
      <c r="AC218" s="1" t="s">
        <v>439</v>
      </c>
      <c r="AD218" s="1" t="s">
        <v>48</v>
      </c>
      <c r="AE218" s="1" t="s">
        <v>48</v>
      </c>
    </row>
    <row r="219" spans="1:31" s="1" customFormat="1" ht="18.5" x14ac:dyDescent="0.45">
      <c r="A219" s="1" t="s">
        <v>5123</v>
      </c>
      <c r="B219" s="1" t="s">
        <v>5124</v>
      </c>
      <c r="C219" s="1" t="s">
        <v>5176</v>
      </c>
      <c r="D219" s="1" t="s">
        <v>571</v>
      </c>
      <c r="E219" s="1" t="s">
        <v>53</v>
      </c>
      <c r="F219" s="1" t="s">
        <v>5177</v>
      </c>
      <c r="G219" s="1" t="s">
        <v>5178</v>
      </c>
      <c r="H219" s="1" t="s">
        <v>5179</v>
      </c>
      <c r="I219" s="2">
        <v>2024</v>
      </c>
      <c r="J219" s="1" t="s">
        <v>5180</v>
      </c>
      <c r="K219" s="1" t="s">
        <v>5127</v>
      </c>
      <c r="L219" s="1" t="s">
        <v>5181</v>
      </c>
      <c r="M219" s="1">
        <v>52</v>
      </c>
      <c r="N219" s="1">
        <v>0</v>
      </c>
      <c r="O219" s="1">
        <v>5</v>
      </c>
      <c r="P219" s="1">
        <v>5</v>
      </c>
      <c r="Q219" s="1" t="s">
        <v>572</v>
      </c>
      <c r="R219" s="1" t="s">
        <v>573</v>
      </c>
      <c r="S219" s="1" t="s">
        <v>574</v>
      </c>
      <c r="T219" s="1" t="s">
        <v>575</v>
      </c>
      <c r="U219" s="1" t="s">
        <v>576</v>
      </c>
      <c r="V219" s="1">
        <v>58</v>
      </c>
      <c r="W219" s="1">
        <v>5</v>
      </c>
      <c r="X219" s="1" t="s">
        <v>5183</v>
      </c>
      <c r="Y219" s="1" t="str">
        <f>HYPERLINK("http://dx.doi.org/10.1051/ro/2024133","http://dx.doi.org/10.1051/ro/2024133")</f>
        <v>http://dx.doi.org/10.1051/ro/2024133</v>
      </c>
      <c r="Z219" s="1">
        <v>42</v>
      </c>
      <c r="AA219" s="1" t="s">
        <v>580</v>
      </c>
      <c r="AB219" s="1" t="s">
        <v>67</v>
      </c>
      <c r="AC219" s="1" t="s">
        <v>580</v>
      </c>
      <c r="AD219" s="1" t="s">
        <v>48</v>
      </c>
      <c r="AE219" s="1" t="s">
        <v>1696</v>
      </c>
    </row>
    <row r="220" spans="1:31" s="1" customFormat="1" ht="18.5" x14ac:dyDescent="0.45">
      <c r="A220" s="1" t="s">
        <v>5063</v>
      </c>
      <c r="B220" s="1" t="s">
        <v>5064</v>
      </c>
      <c r="C220" s="1" t="s">
        <v>5211</v>
      </c>
      <c r="D220" s="1" t="s">
        <v>1030</v>
      </c>
      <c r="E220" s="1" t="s">
        <v>53</v>
      </c>
      <c r="F220" s="1" t="s">
        <v>5212</v>
      </c>
      <c r="G220" s="1" t="s">
        <v>5213</v>
      </c>
      <c r="H220" s="1" t="s">
        <v>5214</v>
      </c>
      <c r="I220" s="2">
        <v>2024</v>
      </c>
      <c r="J220" s="1" t="s">
        <v>5215</v>
      </c>
      <c r="K220" s="1" t="s">
        <v>5067</v>
      </c>
      <c r="L220" s="1" t="s">
        <v>5216</v>
      </c>
      <c r="M220" s="1">
        <v>28</v>
      </c>
      <c r="N220" s="1">
        <v>3</v>
      </c>
      <c r="O220" s="1">
        <v>7</v>
      </c>
      <c r="P220" s="1">
        <v>10</v>
      </c>
      <c r="Q220" s="1" t="s">
        <v>252</v>
      </c>
      <c r="R220" s="1" t="s">
        <v>253</v>
      </c>
      <c r="S220" s="1" t="s">
        <v>254</v>
      </c>
      <c r="T220" s="1" t="s">
        <v>1036</v>
      </c>
      <c r="U220" s="1" t="s">
        <v>1037</v>
      </c>
      <c r="V220" s="1">
        <v>70</v>
      </c>
      <c r="W220" s="1">
        <v>4</v>
      </c>
      <c r="X220" s="1" t="s">
        <v>5217</v>
      </c>
      <c r="Y220" s="1" t="str">
        <f>HYPERLINK("http://dx.doi.org/10.1007/s12190-024-02065-9","http://dx.doi.org/10.1007/s12190-024-02065-9")</f>
        <v>http://dx.doi.org/10.1007/s12190-024-02065-9</v>
      </c>
      <c r="Z220" s="1">
        <v>23</v>
      </c>
      <c r="AA220" s="1" t="s">
        <v>1041</v>
      </c>
      <c r="AB220" s="1" t="s">
        <v>67</v>
      </c>
      <c r="AC220" s="1" t="s">
        <v>137</v>
      </c>
      <c r="AD220" s="1" t="s">
        <v>48</v>
      </c>
      <c r="AE220" s="1" t="s">
        <v>48</v>
      </c>
    </row>
    <row r="221" spans="1:31" s="1" customFormat="1" ht="18.5" x14ac:dyDescent="0.45">
      <c r="A221" s="1" t="s">
        <v>5235</v>
      </c>
      <c r="B221" s="1" t="s">
        <v>5236</v>
      </c>
      <c r="C221" s="1" t="s">
        <v>5237</v>
      </c>
      <c r="D221" s="1" t="s">
        <v>5238</v>
      </c>
      <c r="E221" s="1" t="s">
        <v>53</v>
      </c>
      <c r="F221" s="1" t="s">
        <v>5239</v>
      </c>
      <c r="G221" s="1" t="s">
        <v>5240</v>
      </c>
      <c r="H221" s="1" t="s">
        <v>5241</v>
      </c>
      <c r="I221" s="2">
        <v>2024</v>
      </c>
      <c r="J221" s="1" t="s">
        <v>5242</v>
      </c>
      <c r="K221" s="1" t="s">
        <v>5243</v>
      </c>
      <c r="L221" s="1" t="s">
        <v>1379</v>
      </c>
      <c r="M221" s="1">
        <v>37</v>
      </c>
      <c r="N221" s="1">
        <v>12</v>
      </c>
      <c r="O221" s="1">
        <v>4</v>
      </c>
      <c r="P221" s="1">
        <v>9</v>
      </c>
      <c r="Q221" s="1" t="s">
        <v>503</v>
      </c>
      <c r="R221" s="1" t="s">
        <v>504</v>
      </c>
      <c r="S221" s="1" t="s">
        <v>505</v>
      </c>
      <c r="T221" s="1" t="s">
        <v>5244</v>
      </c>
      <c r="U221" s="1" t="s">
        <v>5245</v>
      </c>
      <c r="V221" s="1">
        <v>32</v>
      </c>
      <c r="W221" s="1">
        <v>3</v>
      </c>
      <c r="X221" s="1" t="s">
        <v>5246</v>
      </c>
      <c r="Y221" s="1" t="str">
        <f>HYPERLINK("http://dx.doi.org/10.1007/s10100-023-00861-5","http://dx.doi.org/10.1007/s10100-023-00861-5")</f>
        <v>http://dx.doi.org/10.1007/s10100-023-00861-5</v>
      </c>
      <c r="Z221" s="1">
        <v>12</v>
      </c>
      <c r="AA221" s="1" t="s">
        <v>580</v>
      </c>
      <c r="AB221" s="1" t="s">
        <v>67</v>
      </c>
      <c r="AC221" s="1" t="s">
        <v>580</v>
      </c>
      <c r="AD221" s="1" t="s">
        <v>48</v>
      </c>
      <c r="AE221" s="1" t="s">
        <v>48</v>
      </c>
    </row>
    <row r="222" spans="1:31" s="1" customFormat="1" ht="18.5" x14ac:dyDescent="0.45">
      <c r="A222" s="1" t="s">
        <v>5271</v>
      </c>
      <c r="B222" s="1" t="s">
        <v>5272</v>
      </c>
      <c r="C222" s="1" t="s">
        <v>5273</v>
      </c>
      <c r="D222" s="1" t="s">
        <v>5253</v>
      </c>
      <c r="E222" s="1" t="s">
        <v>53</v>
      </c>
      <c r="F222" s="1" t="s">
        <v>48</v>
      </c>
      <c r="G222" s="1" t="s">
        <v>5274</v>
      </c>
      <c r="H222" s="1" t="s">
        <v>5275</v>
      </c>
      <c r="I222" s="2">
        <v>2024</v>
      </c>
      <c r="J222" s="1" t="s">
        <v>5276</v>
      </c>
      <c r="K222" s="1" t="s">
        <v>3900</v>
      </c>
      <c r="L222" s="1" t="s">
        <v>3901</v>
      </c>
      <c r="M222" s="1">
        <v>47</v>
      </c>
      <c r="N222" s="1">
        <v>9</v>
      </c>
      <c r="O222" s="1">
        <v>0</v>
      </c>
      <c r="P222" s="1">
        <v>0</v>
      </c>
      <c r="Q222" s="1" t="s">
        <v>2989</v>
      </c>
      <c r="R222" s="1" t="s">
        <v>2990</v>
      </c>
      <c r="S222" s="1" t="s">
        <v>2991</v>
      </c>
      <c r="T222" s="1" t="s">
        <v>5256</v>
      </c>
      <c r="U222" s="1" t="s">
        <v>5257</v>
      </c>
      <c r="V222" s="1">
        <v>104</v>
      </c>
      <c r="W222" s="1">
        <v>9</v>
      </c>
      <c r="X222" s="1" t="s">
        <v>5277</v>
      </c>
      <c r="Y222" s="1" t="str">
        <f>HYPERLINK("http://dx.doi.org/10.1002/zamm.202301079","http://dx.doi.org/10.1002/zamm.202301079")</f>
        <v>http://dx.doi.org/10.1002/zamm.202301079</v>
      </c>
      <c r="Z222" s="1">
        <v>25</v>
      </c>
      <c r="AA222" s="1" t="s">
        <v>5259</v>
      </c>
      <c r="AB222" s="1" t="s">
        <v>67</v>
      </c>
      <c r="AC222" s="1" t="s">
        <v>4361</v>
      </c>
      <c r="AD222" s="1" t="s">
        <v>48</v>
      </c>
      <c r="AE222" s="1" t="s">
        <v>48</v>
      </c>
    </row>
    <row r="223" spans="1:31" s="1" customFormat="1" ht="18.5" x14ac:dyDescent="0.45">
      <c r="A223" s="1" t="s">
        <v>5278</v>
      </c>
      <c r="B223" s="1" t="s">
        <v>5279</v>
      </c>
      <c r="C223" s="1" t="s">
        <v>5280</v>
      </c>
      <c r="D223" s="1" t="s">
        <v>2618</v>
      </c>
      <c r="E223" s="1" t="s">
        <v>53</v>
      </c>
      <c r="F223" s="1" t="s">
        <v>48</v>
      </c>
      <c r="G223" s="1" t="s">
        <v>5281</v>
      </c>
      <c r="H223" s="1" t="s">
        <v>5282</v>
      </c>
      <c r="I223" s="2">
        <v>2024</v>
      </c>
      <c r="J223" s="1" t="s">
        <v>5283</v>
      </c>
      <c r="K223" s="1" t="s">
        <v>5284</v>
      </c>
      <c r="L223" s="1" t="s">
        <v>5285</v>
      </c>
      <c r="M223" s="1">
        <v>42</v>
      </c>
      <c r="N223" s="1">
        <v>0</v>
      </c>
      <c r="O223" s="1">
        <v>2</v>
      </c>
      <c r="P223" s="1">
        <v>5</v>
      </c>
      <c r="Q223" s="1" t="s">
        <v>503</v>
      </c>
      <c r="R223" s="1" t="s">
        <v>542</v>
      </c>
      <c r="S223" s="1" t="s">
        <v>543</v>
      </c>
      <c r="T223" s="1" t="s">
        <v>2623</v>
      </c>
      <c r="U223" s="1" t="s">
        <v>2624</v>
      </c>
      <c r="V223" s="1">
        <v>35</v>
      </c>
      <c r="W223" s="1">
        <v>17</v>
      </c>
      <c r="X223" s="1" t="s">
        <v>5286</v>
      </c>
      <c r="Y223" s="1" t="str">
        <f>HYPERLINK("http://dx.doi.org/10.1007/s10854-024-12881-1","http://dx.doi.org/10.1007/s10854-024-12881-1")</f>
        <v>http://dx.doi.org/10.1007/s10854-024-12881-1</v>
      </c>
      <c r="Z223" s="1">
        <v>14</v>
      </c>
      <c r="AA223" s="1" t="s">
        <v>2628</v>
      </c>
      <c r="AB223" s="1" t="s">
        <v>67</v>
      </c>
      <c r="AC223" s="1" t="s">
        <v>2629</v>
      </c>
      <c r="AD223" s="1" t="s">
        <v>48</v>
      </c>
      <c r="AE223" s="1" t="s">
        <v>48</v>
      </c>
    </row>
    <row r="224" spans="1:31" s="1" customFormat="1" ht="18.5" x14ac:dyDescent="0.45">
      <c r="A224" s="1" t="s">
        <v>5287</v>
      </c>
      <c r="B224" s="1" t="s">
        <v>5288</v>
      </c>
      <c r="C224" s="1" t="s">
        <v>5289</v>
      </c>
      <c r="D224" s="1" t="s">
        <v>5290</v>
      </c>
      <c r="E224" s="1" t="s">
        <v>53</v>
      </c>
      <c r="F224" s="1" t="s">
        <v>5291</v>
      </c>
      <c r="G224" s="1" t="s">
        <v>5292</v>
      </c>
      <c r="H224" s="1" t="s">
        <v>5293</v>
      </c>
      <c r="I224" s="2">
        <v>2024</v>
      </c>
      <c r="J224" s="1" t="s">
        <v>5294</v>
      </c>
      <c r="K224" s="1" t="s">
        <v>5295</v>
      </c>
      <c r="L224" s="1" t="s">
        <v>5296</v>
      </c>
      <c r="M224" s="1">
        <v>43</v>
      </c>
      <c r="N224" s="1">
        <v>2</v>
      </c>
      <c r="O224" s="1">
        <v>2</v>
      </c>
      <c r="P224" s="1">
        <v>6</v>
      </c>
      <c r="Q224" s="1" t="s">
        <v>1523</v>
      </c>
      <c r="R224" s="1" t="s">
        <v>632</v>
      </c>
      <c r="S224" s="1" t="s">
        <v>1524</v>
      </c>
      <c r="T224" s="1" t="s">
        <v>5297</v>
      </c>
      <c r="U224" s="1" t="s">
        <v>5298</v>
      </c>
      <c r="V224" s="1">
        <v>66</v>
      </c>
      <c r="W224" s="1">
        <v>1</v>
      </c>
      <c r="X224" s="1" t="s">
        <v>5299</v>
      </c>
      <c r="Y224" s="1" t="str">
        <f>HYPERLINK("http://dx.doi.org/10.1007/s12033-023-00728-9","http://dx.doi.org/10.1007/s12033-023-00728-9")</f>
        <v>http://dx.doi.org/10.1007/s12033-023-00728-9</v>
      </c>
      <c r="Z224" s="1">
        <v>8</v>
      </c>
      <c r="AA224" s="1" t="s">
        <v>5300</v>
      </c>
      <c r="AB224" s="1" t="s">
        <v>67</v>
      </c>
      <c r="AC224" s="1" t="s">
        <v>5300</v>
      </c>
      <c r="AD224" s="1">
        <v>36988875</v>
      </c>
      <c r="AE224" s="1" t="s">
        <v>48</v>
      </c>
    </row>
    <row r="225" spans="1:31" s="1" customFormat="1" ht="18.5" x14ac:dyDescent="0.45">
      <c r="A225" s="1" t="s">
        <v>5310</v>
      </c>
      <c r="B225" s="1" t="s">
        <v>5311</v>
      </c>
      <c r="C225" s="1" t="s">
        <v>5312</v>
      </c>
      <c r="D225" s="1" t="s">
        <v>5290</v>
      </c>
      <c r="E225" s="1" t="s">
        <v>111</v>
      </c>
      <c r="F225" s="1" t="s">
        <v>5313</v>
      </c>
      <c r="G225" s="1" t="s">
        <v>5314</v>
      </c>
      <c r="H225" s="1" t="s">
        <v>5315</v>
      </c>
      <c r="I225" s="2">
        <v>2024</v>
      </c>
      <c r="J225" s="1" t="s">
        <v>5316</v>
      </c>
      <c r="K225" s="1" t="s">
        <v>5317</v>
      </c>
      <c r="L225" s="1" t="s">
        <v>5318</v>
      </c>
      <c r="M225" s="1">
        <v>67</v>
      </c>
      <c r="N225" s="1">
        <v>0</v>
      </c>
      <c r="O225" s="1">
        <v>1</v>
      </c>
      <c r="P225" s="1">
        <v>2</v>
      </c>
      <c r="Q225" s="1" t="s">
        <v>1523</v>
      </c>
      <c r="R225" s="1" t="s">
        <v>632</v>
      </c>
      <c r="S225" s="1" t="s">
        <v>1524</v>
      </c>
      <c r="T225" s="1" t="s">
        <v>5297</v>
      </c>
      <c r="U225" s="1" t="s">
        <v>5298</v>
      </c>
      <c r="V225" s="1" t="s">
        <v>48</v>
      </c>
      <c r="W225" s="1" t="s">
        <v>48</v>
      </c>
      <c r="X225" s="1" t="s">
        <v>5319</v>
      </c>
      <c r="Y225" s="1" t="str">
        <f>HYPERLINK("http://dx.doi.org/10.1007/s12033-024-01146-1","http://dx.doi.org/10.1007/s12033-024-01146-1")</f>
        <v>http://dx.doi.org/10.1007/s12033-024-01146-1</v>
      </c>
      <c r="Z225" s="1">
        <v>13</v>
      </c>
      <c r="AA225" s="1" t="s">
        <v>5300</v>
      </c>
      <c r="AB225" s="1" t="s">
        <v>67</v>
      </c>
      <c r="AC225" s="1" t="s">
        <v>5300</v>
      </c>
      <c r="AD225" s="1">
        <v>38619800</v>
      </c>
      <c r="AE225" s="1" t="s">
        <v>48</v>
      </c>
    </row>
    <row r="226" spans="1:31" s="1" customFormat="1" ht="18.5" x14ac:dyDescent="0.45">
      <c r="A226" s="1" t="s">
        <v>5334</v>
      </c>
      <c r="B226" s="1" t="s">
        <v>5335</v>
      </c>
      <c r="C226" s="1" t="s">
        <v>5336</v>
      </c>
      <c r="D226" s="1" t="s">
        <v>3593</v>
      </c>
      <c r="E226" s="1" t="s">
        <v>53</v>
      </c>
      <c r="F226" s="1" t="s">
        <v>5337</v>
      </c>
      <c r="G226" s="1" t="s">
        <v>5338</v>
      </c>
      <c r="H226" s="1" t="s">
        <v>5339</v>
      </c>
      <c r="I226" s="2">
        <v>2024</v>
      </c>
      <c r="J226" s="1" t="s">
        <v>5340</v>
      </c>
      <c r="K226" s="1" t="s">
        <v>115</v>
      </c>
      <c r="L226" s="1" t="s">
        <v>5341</v>
      </c>
      <c r="M226" s="1">
        <v>62</v>
      </c>
      <c r="N226" s="1">
        <v>0</v>
      </c>
      <c r="O226" s="1">
        <v>1</v>
      </c>
      <c r="P226" s="1">
        <v>1</v>
      </c>
      <c r="Q226" s="1" t="s">
        <v>3597</v>
      </c>
      <c r="R226" s="1" t="s">
        <v>3598</v>
      </c>
      <c r="S226" s="1" t="s">
        <v>3599</v>
      </c>
      <c r="T226" s="1" t="s">
        <v>3600</v>
      </c>
      <c r="U226" s="1" t="s">
        <v>3601</v>
      </c>
      <c r="V226" s="1">
        <v>99</v>
      </c>
      <c r="W226" s="1">
        <v>10</v>
      </c>
      <c r="X226" s="1" t="s">
        <v>5342</v>
      </c>
      <c r="Y226" s="1" t="str">
        <f>HYPERLINK("http://dx.doi.org/10.1088/1402-4896/ad7652","http://dx.doi.org/10.1088/1402-4896/ad7652")</f>
        <v>http://dx.doi.org/10.1088/1402-4896/ad7652</v>
      </c>
      <c r="Z226" s="1">
        <v>13</v>
      </c>
      <c r="AA226" s="1" t="s">
        <v>669</v>
      </c>
      <c r="AB226" s="1" t="s">
        <v>67</v>
      </c>
      <c r="AC226" s="1" t="s">
        <v>670</v>
      </c>
      <c r="AD226" s="1" t="s">
        <v>48</v>
      </c>
      <c r="AE226" s="1" t="s">
        <v>48</v>
      </c>
    </row>
    <row r="227" spans="1:31" s="1" customFormat="1" ht="18.5" x14ac:dyDescent="0.45">
      <c r="A227" s="1" t="s">
        <v>5343</v>
      </c>
      <c r="B227" s="1" t="s">
        <v>5344</v>
      </c>
      <c r="C227" s="1" t="s">
        <v>5345</v>
      </c>
      <c r="D227" s="1" t="s">
        <v>5346</v>
      </c>
      <c r="E227" s="1" t="s">
        <v>53</v>
      </c>
      <c r="F227" s="1" t="s">
        <v>5347</v>
      </c>
      <c r="G227" s="1" t="s">
        <v>5348</v>
      </c>
      <c r="H227" s="1" t="s">
        <v>5349</v>
      </c>
      <c r="I227" s="2">
        <v>2024</v>
      </c>
      <c r="J227" s="1" t="s">
        <v>5350</v>
      </c>
      <c r="K227" s="1" t="s">
        <v>3475</v>
      </c>
      <c r="L227" s="1" t="s">
        <v>5351</v>
      </c>
      <c r="M227" s="1">
        <v>48</v>
      </c>
      <c r="N227" s="1">
        <v>0</v>
      </c>
      <c r="O227" s="1">
        <v>0</v>
      </c>
      <c r="P227" s="1">
        <v>2</v>
      </c>
      <c r="Q227" s="1" t="s">
        <v>503</v>
      </c>
      <c r="R227" s="1" t="s">
        <v>504</v>
      </c>
      <c r="S227" s="1" t="s">
        <v>505</v>
      </c>
      <c r="T227" s="1" t="s">
        <v>5352</v>
      </c>
      <c r="U227" s="1" t="s">
        <v>5353</v>
      </c>
      <c r="V227" s="1">
        <v>21</v>
      </c>
      <c r="W227" s="1">
        <v>6</v>
      </c>
      <c r="X227" s="1" t="s">
        <v>5354</v>
      </c>
      <c r="Y227" s="1" t="str">
        <f>HYPERLINK("http://dx.doi.org/10.1007/s13762-023-05331-8","http://dx.doi.org/10.1007/s13762-023-05331-8")</f>
        <v>http://dx.doi.org/10.1007/s13762-023-05331-8</v>
      </c>
      <c r="Z227" s="1">
        <v>16</v>
      </c>
      <c r="AA227" s="1" t="s">
        <v>438</v>
      </c>
      <c r="AB227" s="1" t="s">
        <v>67</v>
      </c>
      <c r="AC227" s="1" t="s">
        <v>439</v>
      </c>
      <c r="AD227" s="1" t="s">
        <v>48</v>
      </c>
      <c r="AE227" s="1" t="s">
        <v>48</v>
      </c>
    </row>
    <row r="228" spans="1:31" s="1" customFormat="1" ht="18.5" x14ac:dyDescent="0.45">
      <c r="A228" s="1" t="s">
        <v>5369</v>
      </c>
      <c r="B228" s="1" t="s">
        <v>5370</v>
      </c>
      <c r="C228" s="1" t="s">
        <v>5371</v>
      </c>
      <c r="D228" s="1" t="s">
        <v>5372</v>
      </c>
      <c r="E228" s="1" t="s">
        <v>53</v>
      </c>
      <c r="F228" s="1" t="s">
        <v>5373</v>
      </c>
      <c r="G228" s="1" t="s">
        <v>5374</v>
      </c>
      <c r="H228" s="1" t="s">
        <v>5375</v>
      </c>
      <c r="I228" s="2">
        <v>2024</v>
      </c>
      <c r="J228" s="1" t="s">
        <v>5376</v>
      </c>
      <c r="K228" s="1" t="s">
        <v>4648</v>
      </c>
      <c r="L228" s="1" t="s">
        <v>5377</v>
      </c>
      <c r="M228" s="1">
        <v>100</v>
      </c>
      <c r="N228" s="1">
        <v>0</v>
      </c>
      <c r="O228" s="1">
        <v>1</v>
      </c>
      <c r="P228" s="1">
        <v>1</v>
      </c>
      <c r="Q228" s="1" t="s">
        <v>1687</v>
      </c>
      <c r="R228" s="1" t="s">
        <v>1688</v>
      </c>
      <c r="S228" s="1" t="s">
        <v>1689</v>
      </c>
      <c r="T228" s="1" t="s">
        <v>5378</v>
      </c>
      <c r="U228" s="1" t="s">
        <v>5379</v>
      </c>
      <c r="V228" s="1">
        <v>16</v>
      </c>
      <c r="W228" s="1">
        <v>2</v>
      </c>
      <c r="X228" s="1" t="s">
        <v>5380</v>
      </c>
      <c r="Y228" s="1" t="str">
        <f>HYPERLINK("http://dx.doi.org/10.5530/pres.16.2.44","http://dx.doi.org/10.5530/pres.16.2.44")</f>
        <v>http://dx.doi.org/10.5530/pres.16.2.44</v>
      </c>
      <c r="Z228" s="1">
        <v>10</v>
      </c>
      <c r="AA228" s="1" t="s">
        <v>1324</v>
      </c>
      <c r="AB228" s="1" t="s">
        <v>124</v>
      </c>
      <c r="AC228" s="1" t="s">
        <v>1324</v>
      </c>
      <c r="AD228" s="1" t="s">
        <v>48</v>
      </c>
      <c r="AE228" s="1" t="s">
        <v>1696</v>
      </c>
    </row>
    <row r="229" spans="1:31" s="1" customFormat="1" ht="18.5" x14ac:dyDescent="0.45">
      <c r="A229" s="1" t="s">
        <v>5381</v>
      </c>
      <c r="B229" s="1" t="s">
        <v>5382</v>
      </c>
      <c r="C229" s="1" t="s">
        <v>5383</v>
      </c>
      <c r="D229" s="1" t="s">
        <v>3983</v>
      </c>
      <c r="E229" s="1" t="s">
        <v>53</v>
      </c>
      <c r="F229" s="1" t="s">
        <v>5384</v>
      </c>
      <c r="G229" s="1" t="s">
        <v>48</v>
      </c>
      <c r="H229" s="1" t="s">
        <v>5385</v>
      </c>
      <c r="I229" s="2">
        <v>2024</v>
      </c>
      <c r="J229" s="1" t="s">
        <v>5386</v>
      </c>
      <c r="K229" s="1" t="s">
        <v>5387</v>
      </c>
      <c r="L229" s="1" t="s">
        <v>1216</v>
      </c>
      <c r="M229" s="1">
        <v>31</v>
      </c>
      <c r="N229" s="1">
        <v>0</v>
      </c>
      <c r="O229" s="1">
        <v>2</v>
      </c>
      <c r="P229" s="1">
        <v>2</v>
      </c>
      <c r="Q229" s="1" t="s">
        <v>3985</v>
      </c>
      <c r="R229" s="1" t="s">
        <v>3986</v>
      </c>
      <c r="S229" s="1" t="s">
        <v>3987</v>
      </c>
      <c r="T229" s="1" t="s">
        <v>3988</v>
      </c>
      <c r="U229" s="1" t="s">
        <v>3989</v>
      </c>
      <c r="V229" s="1">
        <v>31</v>
      </c>
      <c r="W229" s="1">
        <v>2</v>
      </c>
      <c r="X229" s="1" t="s">
        <v>5388</v>
      </c>
      <c r="Y229" s="1" t="str">
        <f>HYPERLINK("http://dx.doi.org/10.1504/IJICBM.2024.136806","http://dx.doi.org/10.1504/IJICBM.2024.136806")</f>
        <v>http://dx.doi.org/10.1504/IJICBM.2024.136806</v>
      </c>
      <c r="Z229" s="1">
        <v>20</v>
      </c>
      <c r="AA229" s="1" t="s">
        <v>1630</v>
      </c>
      <c r="AB229" s="1" t="s">
        <v>124</v>
      </c>
      <c r="AC229" s="1" t="s">
        <v>510</v>
      </c>
      <c r="AD229" s="1" t="s">
        <v>48</v>
      </c>
      <c r="AE229" s="1" t="s">
        <v>48</v>
      </c>
    </row>
    <row r="230" spans="1:31" s="1" customFormat="1" ht="18.5" x14ac:dyDescent="0.45">
      <c r="A230" s="1" t="s">
        <v>5409</v>
      </c>
      <c r="B230" s="1" t="s">
        <v>5410</v>
      </c>
      <c r="C230" s="1" t="s">
        <v>5411</v>
      </c>
      <c r="D230" s="1" t="s">
        <v>5412</v>
      </c>
      <c r="E230" s="1" t="s">
        <v>53</v>
      </c>
      <c r="F230" s="1" t="s">
        <v>5413</v>
      </c>
      <c r="G230" s="1" t="s">
        <v>5414</v>
      </c>
      <c r="H230" s="1" t="s">
        <v>5415</v>
      </c>
      <c r="I230" s="2">
        <v>2024</v>
      </c>
      <c r="J230" s="1" t="s">
        <v>5416</v>
      </c>
      <c r="K230" s="1" t="s">
        <v>5417</v>
      </c>
      <c r="L230" s="1" t="s">
        <v>5418</v>
      </c>
      <c r="M230" s="1">
        <v>66</v>
      </c>
      <c r="N230" s="1">
        <v>3</v>
      </c>
      <c r="O230" s="1">
        <v>6</v>
      </c>
      <c r="P230" s="1">
        <v>7</v>
      </c>
      <c r="Q230" s="1" t="s">
        <v>215</v>
      </c>
      <c r="R230" s="1" t="s">
        <v>158</v>
      </c>
      <c r="S230" s="1" t="s">
        <v>216</v>
      </c>
      <c r="T230" s="1" t="s">
        <v>5419</v>
      </c>
      <c r="U230" s="1" t="s">
        <v>5420</v>
      </c>
      <c r="V230" s="1">
        <v>254</v>
      </c>
      <c r="W230" s="1" t="s">
        <v>48</v>
      </c>
      <c r="X230" s="1" t="s">
        <v>5422</v>
      </c>
      <c r="Y230" s="1" t="str">
        <f>HYPERLINK("http://dx.doi.org/10.1016/j.poly.2024.116936","http://dx.doi.org/10.1016/j.poly.2024.116936")</f>
        <v>http://dx.doi.org/10.1016/j.poly.2024.116936</v>
      </c>
      <c r="Z230" s="1">
        <v>8</v>
      </c>
      <c r="AA230" s="1" t="s">
        <v>5423</v>
      </c>
      <c r="AB230" s="1" t="s">
        <v>67</v>
      </c>
      <c r="AC230" s="1" t="s">
        <v>5424</v>
      </c>
      <c r="AD230" s="1" t="s">
        <v>48</v>
      </c>
      <c r="AE230" s="1" t="s">
        <v>48</v>
      </c>
    </row>
    <row r="231" spans="1:31" s="1" customFormat="1" ht="18.5" x14ac:dyDescent="0.45">
      <c r="A231" s="1" t="s">
        <v>5437</v>
      </c>
      <c r="B231" s="1" t="s">
        <v>5438</v>
      </c>
      <c r="C231" s="1" t="s">
        <v>5439</v>
      </c>
      <c r="D231" s="1" t="s">
        <v>5440</v>
      </c>
      <c r="E231" s="1" t="s">
        <v>111</v>
      </c>
      <c r="F231" s="1" t="s">
        <v>5441</v>
      </c>
      <c r="G231" s="1" t="s">
        <v>5442</v>
      </c>
      <c r="H231" s="1" t="s">
        <v>5443</v>
      </c>
      <c r="I231" s="2">
        <v>2024</v>
      </c>
      <c r="J231" s="1" t="s">
        <v>5444</v>
      </c>
      <c r="K231" s="1" t="s">
        <v>3900</v>
      </c>
      <c r="L231" s="1" t="s">
        <v>3901</v>
      </c>
      <c r="M231" s="1">
        <v>75</v>
      </c>
      <c r="N231" s="1">
        <v>6</v>
      </c>
      <c r="O231" s="1">
        <v>0</v>
      </c>
      <c r="P231" s="1">
        <v>0</v>
      </c>
      <c r="Q231" s="1" t="s">
        <v>503</v>
      </c>
      <c r="R231" s="1" t="s">
        <v>504</v>
      </c>
      <c r="S231" s="1" t="s">
        <v>505</v>
      </c>
      <c r="T231" s="1" t="s">
        <v>5445</v>
      </c>
      <c r="U231" s="1" t="s">
        <v>5446</v>
      </c>
      <c r="V231" s="1" t="s">
        <v>48</v>
      </c>
      <c r="W231" s="1" t="s">
        <v>48</v>
      </c>
      <c r="X231" s="1" t="s">
        <v>5447</v>
      </c>
      <c r="Y231" s="1" t="str">
        <f>HYPERLINK("http://dx.doi.org/10.1007/s10910-024-01625-5","http://dx.doi.org/10.1007/s10910-024-01625-5")</f>
        <v>http://dx.doi.org/10.1007/s10910-024-01625-5</v>
      </c>
      <c r="Z231" s="1">
        <v>52</v>
      </c>
      <c r="AA231" s="1" t="s">
        <v>5448</v>
      </c>
      <c r="AB231" s="1" t="s">
        <v>67</v>
      </c>
      <c r="AC231" s="1" t="s">
        <v>5449</v>
      </c>
      <c r="AD231" s="1" t="s">
        <v>48</v>
      </c>
      <c r="AE231" s="1" t="s">
        <v>48</v>
      </c>
    </row>
    <row r="232" spans="1:31" s="1" customFormat="1" ht="18.5" x14ac:dyDescent="0.45">
      <c r="A232" s="1" t="s">
        <v>5450</v>
      </c>
      <c r="B232" s="1" t="s">
        <v>5451</v>
      </c>
      <c r="C232" s="1" t="s">
        <v>5452</v>
      </c>
      <c r="D232" s="1" t="s">
        <v>5453</v>
      </c>
      <c r="E232" s="1" t="s">
        <v>53</v>
      </c>
      <c r="F232" s="1" t="s">
        <v>5454</v>
      </c>
      <c r="G232" s="1" t="s">
        <v>5455</v>
      </c>
      <c r="H232" s="1" t="s">
        <v>5456</v>
      </c>
      <c r="I232" s="2">
        <v>2024</v>
      </c>
      <c r="J232" s="1" t="s">
        <v>5457</v>
      </c>
      <c r="K232" s="1" t="s">
        <v>3900</v>
      </c>
      <c r="L232" s="1" t="s">
        <v>3901</v>
      </c>
      <c r="M232" s="1">
        <v>57</v>
      </c>
      <c r="N232" s="1">
        <v>12</v>
      </c>
      <c r="O232" s="1">
        <v>0</v>
      </c>
      <c r="P232" s="1">
        <v>0</v>
      </c>
      <c r="Q232" s="1" t="s">
        <v>503</v>
      </c>
      <c r="R232" s="1" t="s">
        <v>504</v>
      </c>
      <c r="S232" s="1" t="s">
        <v>505</v>
      </c>
      <c r="T232" s="1" t="s">
        <v>5458</v>
      </c>
      <c r="U232" s="1" t="s">
        <v>5459</v>
      </c>
      <c r="V232" s="1">
        <v>94</v>
      </c>
      <c r="W232" s="1">
        <v>2</v>
      </c>
      <c r="X232" s="1" t="s">
        <v>5460</v>
      </c>
      <c r="Y232" s="1" t="str">
        <f>HYPERLINK("http://dx.doi.org/10.1007/s00419-023-02531-z","http://dx.doi.org/10.1007/s00419-023-02531-z")</f>
        <v>http://dx.doi.org/10.1007/s00419-023-02531-z</v>
      </c>
      <c r="Z232" s="1">
        <v>27</v>
      </c>
      <c r="AA232" s="1" t="s">
        <v>4376</v>
      </c>
      <c r="AB232" s="1" t="s">
        <v>67</v>
      </c>
      <c r="AC232" s="1" t="s">
        <v>4376</v>
      </c>
      <c r="AD232" s="1" t="s">
        <v>48</v>
      </c>
      <c r="AE232" s="1" t="s">
        <v>48</v>
      </c>
    </row>
    <row r="233" spans="1:31" s="1" customFormat="1" ht="18.5" x14ac:dyDescent="0.45">
      <c r="A233" s="1" t="s">
        <v>5474</v>
      </c>
      <c r="B233" s="1" t="s">
        <v>5475</v>
      </c>
      <c r="C233" s="1" t="s">
        <v>5476</v>
      </c>
      <c r="D233" s="1" t="s">
        <v>3470</v>
      </c>
      <c r="E233" s="1" t="s">
        <v>53</v>
      </c>
      <c r="F233" s="1" t="s">
        <v>5477</v>
      </c>
      <c r="G233" s="1" t="s">
        <v>5478</v>
      </c>
      <c r="H233" s="1" t="s">
        <v>5479</v>
      </c>
      <c r="I233" s="2">
        <v>2024</v>
      </c>
      <c r="J233" s="1" t="s">
        <v>5480</v>
      </c>
      <c r="K233" s="1" t="s">
        <v>4852</v>
      </c>
      <c r="L233" s="1" t="s">
        <v>5481</v>
      </c>
      <c r="M233" s="1">
        <v>65</v>
      </c>
      <c r="N233" s="1">
        <v>0</v>
      </c>
      <c r="O233" s="1">
        <v>1</v>
      </c>
      <c r="P233" s="1">
        <v>1</v>
      </c>
      <c r="Q233" s="1" t="s">
        <v>2989</v>
      </c>
      <c r="R233" s="1" t="s">
        <v>2990</v>
      </c>
      <c r="S233" s="1" t="s">
        <v>2991</v>
      </c>
      <c r="T233" s="1" t="s">
        <v>3477</v>
      </c>
      <c r="U233" s="1" t="s">
        <v>48</v>
      </c>
      <c r="V233" s="1">
        <v>9</v>
      </c>
      <c r="W233" s="1">
        <v>39</v>
      </c>
      <c r="X233" s="1" t="s">
        <v>5482</v>
      </c>
      <c r="Y233" s="1" t="str">
        <f>HYPERLINK("http://dx.doi.org/10.1002/slct.202402820","http://dx.doi.org/10.1002/slct.202402820")</f>
        <v>http://dx.doi.org/10.1002/slct.202402820</v>
      </c>
      <c r="Z233" s="1">
        <v>10</v>
      </c>
      <c r="AA233" s="1" t="s">
        <v>2292</v>
      </c>
      <c r="AB233" s="1" t="s">
        <v>67</v>
      </c>
      <c r="AC233" s="1" t="s">
        <v>2293</v>
      </c>
      <c r="AD233" s="1" t="s">
        <v>48</v>
      </c>
      <c r="AE233" s="1" t="s">
        <v>48</v>
      </c>
    </row>
    <row r="234" spans="1:31" s="1" customFormat="1" ht="18.5" x14ac:dyDescent="0.45">
      <c r="A234" s="1" t="s">
        <v>5483</v>
      </c>
      <c r="B234" s="1" t="s">
        <v>5484</v>
      </c>
      <c r="C234" s="1" t="s">
        <v>5485</v>
      </c>
      <c r="D234" s="1" t="s">
        <v>1273</v>
      </c>
      <c r="E234" s="1" t="s">
        <v>53</v>
      </c>
      <c r="F234" s="1" t="s">
        <v>5486</v>
      </c>
      <c r="G234" s="1" t="s">
        <v>5487</v>
      </c>
      <c r="H234" s="1" t="s">
        <v>5488</v>
      </c>
      <c r="I234" s="2">
        <v>2024</v>
      </c>
      <c r="J234" s="1" t="s">
        <v>5489</v>
      </c>
      <c r="K234" s="1" t="s">
        <v>5490</v>
      </c>
      <c r="L234" s="1" t="s">
        <v>5491</v>
      </c>
      <c r="M234" s="1">
        <v>42</v>
      </c>
      <c r="N234" s="1">
        <v>4</v>
      </c>
      <c r="O234" s="1">
        <v>1</v>
      </c>
      <c r="P234" s="1">
        <v>4</v>
      </c>
      <c r="Q234" s="1" t="s">
        <v>215</v>
      </c>
      <c r="R234" s="1" t="s">
        <v>158</v>
      </c>
      <c r="S234" s="1" t="s">
        <v>216</v>
      </c>
      <c r="T234" s="1" t="s">
        <v>1276</v>
      </c>
      <c r="U234" s="1" t="s">
        <v>1277</v>
      </c>
      <c r="V234" s="1">
        <v>133</v>
      </c>
      <c r="W234" s="1" t="s">
        <v>48</v>
      </c>
      <c r="X234" s="1" t="s">
        <v>5492</v>
      </c>
      <c r="Y234" s="1" t="str">
        <f>HYPERLINK("http://dx.doi.org/10.1016/j.engappai.2024.108119","http://dx.doi.org/10.1016/j.engappai.2024.108119")</f>
        <v>http://dx.doi.org/10.1016/j.engappai.2024.108119</v>
      </c>
      <c r="Z234" s="1">
        <v>18</v>
      </c>
      <c r="AA234" s="1" t="s">
        <v>1281</v>
      </c>
      <c r="AB234" s="1" t="s">
        <v>67</v>
      </c>
      <c r="AC234" s="1" t="s">
        <v>1282</v>
      </c>
      <c r="AD234" s="1" t="s">
        <v>48</v>
      </c>
      <c r="AE234" s="1" t="s">
        <v>48</v>
      </c>
    </row>
    <row r="235" spans="1:31" s="1" customFormat="1" ht="18.5" x14ac:dyDescent="0.45">
      <c r="A235" s="1" t="s">
        <v>5493</v>
      </c>
      <c r="B235" s="1" t="s">
        <v>5494</v>
      </c>
      <c r="C235" s="1" t="s">
        <v>5495</v>
      </c>
      <c r="D235" s="1" t="s">
        <v>5496</v>
      </c>
      <c r="E235" s="1" t="s">
        <v>53</v>
      </c>
      <c r="F235" s="1" t="s">
        <v>5497</v>
      </c>
      <c r="G235" s="1" t="s">
        <v>5498</v>
      </c>
      <c r="H235" s="1" t="s">
        <v>5499</v>
      </c>
      <c r="I235" s="2">
        <v>2024</v>
      </c>
      <c r="J235" s="1" t="s">
        <v>5500</v>
      </c>
      <c r="K235" s="1" t="s">
        <v>3900</v>
      </c>
      <c r="L235" s="1" t="s">
        <v>3901</v>
      </c>
      <c r="M235" s="1">
        <v>66</v>
      </c>
      <c r="N235" s="1">
        <v>6</v>
      </c>
      <c r="O235" s="1">
        <v>1</v>
      </c>
      <c r="P235" s="1">
        <v>1</v>
      </c>
      <c r="Q235" s="1" t="s">
        <v>252</v>
      </c>
      <c r="R235" s="1" t="s">
        <v>253</v>
      </c>
      <c r="S235" s="1" t="s">
        <v>254</v>
      </c>
      <c r="T235" s="1" t="s">
        <v>5501</v>
      </c>
      <c r="U235" s="1" t="s">
        <v>5502</v>
      </c>
      <c r="V235" s="1">
        <v>28</v>
      </c>
      <c r="W235" s="1">
        <v>10</v>
      </c>
      <c r="X235" s="1" t="s">
        <v>5503</v>
      </c>
      <c r="Y235" s="1" t="str">
        <f>HYPERLINK("http://dx.doi.org/10.1007/s10404-024-02764-6","http://dx.doi.org/10.1007/s10404-024-02764-6")</f>
        <v>http://dx.doi.org/10.1007/s10404-024-02764-6</v>
      </c>
      <c r="Z235" s="1">
        <v>28</v>
      </c>
      <c r="AA235" s="1" t="s">
        <v>5504</v>
      </c>
      <c r="AB235" s="1" t="s">
        <v>67</v>
      </c>
      <c r="AC235" s="1" t="s">
        <v>5505</v>
      </c>
      <c r="AD235" s="1" t="s">
        <v>48</v>
      </c>
      <c r="AE235" s="1" t="s">
        <v>48</v>
      </c>
    </row>
    <row r="236" spans="1:31" s="1" customFormat="1" ht="18.5" x14ac:dyDescent="0.45">
      <c r="A236" s="1" t="s">
        <v>5506</v>
      </c>
      <c r="B236" s="1" t="s">
        <v>5507</v>
      </c>
      <c r="C236" s="1" t="s">
        <v>5508</v>
      </c>
      <c r="D236" s="1" t="s">
        <v>4902</v>
      </c>
      <c r="E236" s="1" t="s">
        <v>53</v>
      </c>
      <c r="F236" s="1" t="s">
        <v>5509</v>
      </c>
      <c r="G236" s="1" t="s">
        <v>5510</v>
      </c>
      <c r="H236" s="1" t="s">
        <v>5511</v>
      </c>
      <c r="I236" s="2">
        <v>2024</v>
      </c>
      <c r="J236" s="1" t="s">
        <v>5512</v>
      </c>
      <c r="K236" s="1" t="s">
        <v>3900</v>
      </c>
      <c r="L236" s="1" t="s">
        <v>3901</v>
      </c>
      <c r="M236" s="1">
        <v>41</v>
      </c>
      <c r="N236" s="1">
        <v>9</v>
      </c>
      <c r="O236" s="1">
        <v>0</v>
      </c>
      <c r="P236" s="1">
        <v>0</v>
      </c>
      <c r="Q236" s="1" t="s">
        <v>1523</v>
      </c>
      <c r="R236" s="1" t="s">
        <v>632</v>
      </c>
      <c r="S236" s="1" t="s">
        <v>1524</v>
      </c>
      <c r="T236" s="1" t="s">
        <v>4908</v>
      </c>
      <c r="U236" s="1" t="s">
        <v>4909</v>
      </c>
      <c r="V236" s="1">
        <v>24</v>
      </c>
      <c r="W236" s="1">
        <v>2</v>
      </c>
      <c r="X236" s="1" t="s">
        <v>5513</v>
      </c>
      <c r="Y236" s="1" t="str">
        <f>HYPERLINK("http://dx.doi.org/10.1007/s43452-024-00937-2","http://dx.doi.org/10.1007/s43452-024-00937-2")</f>
        <v>http://dx.doi.org/10.1007/s43452-024-00937-2</v>
      </c>
      <c r="Z236" s="1">
        <v>17</v>
      </c>
      <c r="AA236" s="1" t="s">
        <v>4911</v>
      </c>
      <c r="AB236" s="1" t="s">
        <v>67</v>
      </c>
      <c r="AC236" s="1" t="s">
        <v>4912</v>
      </c>
      <c r="AD236" s="1" t="s">
        <v>48</v>
      </c>
      <c r="AE236" s="1" t="s">
        <v>48</v>
      </c>
    </row>
    <row r="237" spans="1:31" s="1" customFormat="1" ht="18.5" x14ac:dyDescent="0.45">
      <c r="A237" s="1" t="s">
        <v>5547</v>
      </c>
      <c r="B237" s="1" t="s">
        <v>5548</v>
      </c>
      <c r="C237" s="1" t="s">
        <v>5549</v>
      </c>
      <c r="D237" s="1" t="s">
        <v>3348</v>
      </c>
      <c r="E237" s="1" t="s">
        <v>53</v>
      </c>
      <c r="F237" s="1" t="s">
        <v>5550</v>
      </c>
      <c r="G237" s="1" t="s">
        <v>5551</v>
      </c>
      <c r="H237" s="1" t="s">
        <v>5552</v>
      </c>
      <c r="I237" s="2">
        <v>2024</v>
      </c>
      <c r="J237" s="1" t="s">
        <v>5553</v>
      </c>
      <c r="K237" s="1" t="s">
        <v>5554</v>
      </c>
      <c r="L237" s="1" t="s">
        <v>5555</v>
      </c>
      <c r="M237" s="1">
        <v>75</v>
      </c>
      <c r="N237" s="1">
        <v>1</v>
      </c>
      <c r="O237" s="1">
        <v>3</v>
      </c>
      <c r="P237" s="1">
        <v>3</v>
      </c>
      <c r="Q237" s="1" t="s">
        <v>60</v>
      </c>
      <c r="R237" s="1" t="s">
        <v>61</v>
      </c>
      <c r="S237" s="1" t="s">
        <v>62</v>
      </c>
      <c r="T237" s="1" t="s">
        <v>3354</v>
      </c>
      <c r="U237" s="1" t="s">
        <v>3355</v>
      </c>
      <c r="V237" s="1">
        <v>12</v>
      </c>
      <c r="W237" s="1">
        <v>5</v>
      </c>
      <c r="X237" s="1" t="s">
        <v>5556</v>
      </c>
      <c r="Y237" s="1" t="str">
        <f>HYPERLINK("http://dx.doi.org/10.1016/j.jece.2024.113932","http://dx.doi.org/10.1016/j.jece.2024.113932")</f>
        <v>http://dx.doi.org/10.1016/j.jece.2024.113932</v>
      </c>
      <c r="Z237" s="1">
        <v>14</v>
      </c>
      <c r="AA237" s="1" t="s">
        <v>3357</v>
      </c>
      <c r="AB237" s="1" t="s">
        <v>67</v>
      </c>
      <c r="AC237" s="1" t="s">
        <v>1733</v>
      </c>
      <c r="AD237" s="1" t="s">
        <v>48</v>
      </c>
      <c r="AE237" s="1" t="s">
        <v>48</v>
      </c>
    </row>
    <row r="238" spans="1:31" s="1" customFormat="1" ht="18.5" x14ac:dyDescent="0.45">
      <c r="A238" s="1" t="s">
        <v>5655</v>
      </c>
      <c r="B238" s="1" t="s">
        <v>5656</v>
      </c>
      <c r="C238" s="1" t="s">
        <v>5657</v>
      </c>
      <c r="D238" s="1" t="s">
        <v>2267</v>
      </c>
      <c r="E238" s="1" t="s">
        <v>111</v>
      </c>
      <c r="F238" s="1" t="s">
        <v>5658</v>
      </c>
      <c r="G238" s="1" t="s">
        <v>5659</v>
      </c>
      <c r="H238" s="1" t="s">
        <v>5660</v>
      </c>
      <c r="I238" s="2">
        <v>2024</v>
      </c>
      <c r="J238" s="1" t="s">
        <v>5661</v>
      </c>
      <c r="K238" s="1" t="s">
        <v>5662</v>
      </c>
      <c r="L238" s="1" t="s">
        <v>5663</v>
      </c>
      <c r="M238" s="1">
        <v>42</v>
      </c>
      <c r="N238" s="1">
        <v>0</v>
      </c>
      <c r="O238" s="1">
        <v>4</v>
      </c>
      <c r="P238" s="1">
        <v>5</v>
      </c>
      <c r="Q238" s="1" t="s">
        <v>2270</v>
      </c>
      <c r="R238" s="1" t="s">
        <v>2271</v>
      </c>
      <c r="S238" s="1" t="s">
        <v>2272</v>
      </c>
      <c r="T238" s="1" t="s">
        <v>2273</v>
      </c>
      <c r="U238" s="1" t="s">
        <v>2274</v>
      </c>
      <c r="V238" s="1" t="s">
        <v>48</v>
      </c>
      <c r="W238" s="1" t="s">
        <v>48</v>
      </c>
      <c r="X238" s="1" t="s">
        <v>5664</v>
      </c>
      <c r="Y238" s="1" t="str">
        <f>HYPERLINK("http://dx.doi.org/10.1007/s11600-024-01418-z","http://dx.doi.org/10.1007/s11600-024-01418-z")</f>
        <v>http://dx.doi.org/10.1007/s11600-024-01418-z</v>
      </c>
      <c r="Z238" s="1">
        <v>18</v>
      </c>
      <c r="AA238" s="1" t="s">
        <v>2276</v>
      </c>
      <c r="AB238" s="1" t="s">
        <v>67</v>
      </c>
      <c r="AC238" s="1" t="s">
        <v>2276</v>
      </c>
      <c r="AD238" s="1" t="s">
        <v>48</v>
      </c>
      <c r="AE238" s="1" t="s">
        <v>48</v>
      </c>
    </row>
    <row r="239" spans="1:31" s="1" customFormat="1" ht="18.5" x14ac:dyDescent="0.45">
      <c r="A239" s="1" t="s">
        <v>5676</v>
      </c>
      <c r="B239" s="1" t="s">
        <v>5677</v>
      </c>
      <c r="C239" s="1" t="s">
        <v>5678</v>
      </c>
      <c r="D239" s="1" t="s">
        <v>1650</v>
      </c>
      <c r="E239" s="1" t="s">
        <v>53</v>
      </c>
      <c r="F239" s="1" t="s">
        <v>48</v>
      </c>
      <c r="G239" s="1" t="s">
        <v>5679</v>
      </c>
      <c r="H239" s="1" t="s">
        <v>5680</v>
      </c>
      <c r="I239" s="2">
        <v>2024</v>
      </c>
      <c r="J239" s="1" t="s">
        <v>5681</v>
      </c>
      <c r="K239" s="1" t="s">
        <v>5682</v>
      </c>
      <c r="L239" s="1" t="s">
        <v>5683</v>
      </c>
      <c r="M239" s="1">
        <v>43</v>
      </c>
      <c r="N239" s="1">
        <v>0</v>
      </c>
      <c r="O239" s="1">
        <v>2</v>
      </c>
      <c r="P239" s="1">
        <v>2</v>
      </c>
      <c r="Q239" s="1" t="s">
        <v>503</v>
      </c>
      <c r="R239" s="1" t="s">
        <v>504</v>
      </c>
      <c r="S239" s="1" t="s">
        <v>505</v>
      </c>
      <c r="T239" s="1" t="s">
        <v>1655</v>
      </c>
      <c r="U239" s="1" t="s">
        <v>1656</v>
      </c>
      <c r="V239" s="1">
        <v>81</v>
      </c>
      <c r="W239" s="1">
        <v>11</v>
      </c>
      <c r="X239" s="1" t="s">
        <v>5684</v>
      </c>
      <c r="Y239" s="1" t="str">
        <f>HYPERLINK("http://dx.doi.org/10.1007/s00284-024-03888-2","http://dx.doi.org/10.1007/s00284-024-03888-2")</f>
        <v>http://dx.doi.org/10.1007/s00284-024-03888-2</v>
      </c>
      <c r="Z239" s="1">
        <v>7</v>
      </c>
      <c r="AA239" s="1" t="s">
        <v>824</v>
      </c>
      <c r="AB239" s="1" t="s">
        <v>67</v>
      </c>
      <c r="AC239" s="1" t="s">
        <v>824</v>
      </c>
      <c r="AD239" s="1">
        <v>39367887</v>
      </c>
      <c r="AE239" s="1" t="s">
        <v>48</v>
      </c>
    </row>
    <row r="240" spans="1:31" s="1" customFormat="1" ht="18.5" x14ac:dyDescent="0.45">
      <c r="A240" s="1" t="s">
        <v>5685</v>
      </c>
      <c r="B240" s="1" t="s">
        <v>5686</v>
      </c>
      <c r="C240" s="1" t="s">
        <v>5687</v>
      </c>
      <c r="D240" s="1" t="s">
        <v>2954</v>
      </c>
      <c r="E240" s="1" t="s">
        <v>53</v>
      </c>
      <c r="F240" s="1" t="s">
        <v>48</v>
      </c>
      <c r="G240" s="1" t="s">
        <v>5688</v>
      </c>
      <c r="H240" s="1" t="s">
        <v>5689</v>
      </c>
      <c r="I240" s="2">
        <v>2024</v>
      </c>
      <c r="J240" s="1" t="s">
        <v>5690</v>
      </c>
      <c r="K240" s="1" t="s">
        <v>3900</v>
      </c>
      <c r="L240" s="1" t="s">
        <v>3901</v>
      </c>
      <c r="M240" s="1">
        <v>59</v>
      </c>
      <c r="N240" s="1">
        <v>17</v>
      </c>
      <c r="O240" s="1">
        <v>1</v>
      </c>
      <c r="P240" s="1">
        <v>2</v>
      </c>
      <c r="Q240" s="1" t="s">
        <v>252</v>
      </c>
      <c r="R240" s="1" t="s">
        <v>253</v>
      </c>
      <c r="S240" s="1" t="s">
        <v>254</v>
      </c>
      <c r="T240" s="1" t="s">
        <v>2957</v>
      </c>
      <c r="U240" s="1" t="s">
        <v>48</v>
      </c>
      <c r="V240" s="1">
        <v>139</v>
      </c>
      <c r="W240" s="1">
        <v>5</v>
      </c>
      <c r="X240" s="1" t="s">
        <v>5691</v>
      </c>
      <c r="Y240" s="1" t="str">
        <f>HYPERLINK("http://dx.doi.org/10.1140/epjp/s13360-024-05197-w","http://dx.doi.org/10.1140/epjp/s13360-024-05197-w")</f>
        <v>http://dx.doi.org/10.1140/epjp/s13360-024-05197-w</v>
      </c>
      <c r="Z240" s="1">
        <v>34</v>
      </c>
      <c r="AA240" s="1" t="s">
        <v>669</v>
      </c>
      <c r="AB240" s="1" t="s">
        <v>67</v>
      </c>
      <c r="AC240" s="1" t="s">
        <v>670</v>
      </c>
      <c r="AD240" s="1" t="s">
        <v>48</v>
      </c>
      <c r="AE240" s="1" t="s">
        <v>48</v>
      </c>
    </row>
    <row r="241" spans="1:31" s="1" customFormat="1" ht="18.5" x14ac:dyDescent="0.45">
      <c r="A241" s="1" t="s">
        <v>5692</v>
      </c>
      <c r="B241" s="1" t="s">
        <v>5693</v>
      </c>
      <c r="C241" s="1" t="s">
        <v>5694</v>
      </c>
      <c r="D241" s="1" t="s">
        <v>5695</v>
      </c>
      <c r="E241" s="1" t="s">
        <v>53</v>
      </c>
      <c r="F241" s="1" t="s">
        <v>48</v>
      </c>
      <c r="G241" s="1" t="s">
        <v>48</v>
      </c>
      <c r="H241" s="1" t="s">
        <v>5696</v>
      </c>
      <c r="I241" s="2">
        <v>2024</v>
      </c>
      <c r="J241" s="1" t="s">
        <v>5697</v>
      </c>
      <c r="K241" s="1" t="s">
        <v>5698</v>
      </c>
      <c r="L241" s="1" t="s">
        <v>1379</v>
      </c>
      <c r="M241" s="1">
        <v>48</v>
      </c>
      <c r="N241" s="1">
        <v>2</v>
      </c>
      <c r="O241" s="1">
        <v>0</v>
      </c>
      <c r="P241" s="1">
        <v>0</v>
      </c>
      <c r="Q241" s="1" t="s">
        <v>313</v>
      </c>
      <c r="R241" s="1" t="s">
        <v>314</v>
      </c>
      <c r="S241" s="1" t="s">
        <v>315</v>
      </c>
      <c r="T241" s="1" t="s">
        <v>5699</v>
      </c>
      <c r="U241" s="1" t="s">
        <v>5700</v>
      </c>
      <c r="V241" s="1">
        <v>11</v>
      </c>
      <c r="W241" s="1">
        <v>4</v>
      </c>
      <c r="X241" s="1" t="s">
        <v>5703</v>
      </c>
      <c r="Y241" s="1" t="str">
        <f>HYPERLINK("http://dx.doi.org/10.3934/jdg.2024010","http://dx.doi.org/10.3934/jdg.2024010")</f>
        <v>http://dx.doi.org/10.3934/jdg.2024010</v>
      </c>
      <c r="Z241" s="1">
        <v>23</v>
      </c>
      <c r="AA241" s="1" t="s">
        <v>3796</v>
      </c>
      <c r="AB241" s="1" t="s">
        <v>124</v>
      </c>
      <c r="AC241" s="1" t="s">
        <v>137</v>
      </c>
      <c r="AD241" s="1" t="s">
        <v>48</v>
      </c>
      <c r="AE241" s="1" t="s">
        <v>125</v>
      </c>
    </row>
    <row r="242" spans="1:31" s="1" customFormat="1" ht="18.5" x14ac:dyDescent="0.45">
      <c r="A242" s="1" t="s">
        <v>1288</v>
      </c>
      <c r="B242" s="1" t="s">
        <v>1819</v>
      </c>
      <c r="C242" s="1" t="s">
        <v>5727</v>
      </c>
      <c r="D242" s="1" t="s">
        <v>250</v>
      </c>
      <c r="E242" s="1" t="s">
        <v>53</v>
      </c>
      <c r="F242" s="1" t="s">
        <v>5728</v>
      </c>
      <c r="G242" s="1" t="s">
        <v>5729</v>
      </c>
      <c r="H242" s="1" t="s">
        <v>5730</v>
      </c>
      <c r="I242" s="2">
        <v>2024</v>
      </c>
      <c r="J242" s="1" t="s">
        <v>5731</v>
      </c>
      <c r="K242" s="1" t="s">
        <v>5732</v>
      </c>
      <c r="L242" s="1" t="s">
        <v>5733</v>
      </c>
      <c r="M242" s="1">
        <v>40</v>
      </c>
      <c r="N242" s="1">
        <v>1</v>
      </c>
      <c r="O242" s="1">
        <v>1</v>
      </c>
      <c r="P242" s="1">
        <v>1</v>
      </c>
      <c r="Q242" s="1" t="s">
        <v>252</v>
      </c>
      <c r="R242" s="1" t="s">
        <v>253</v>
      </c>
      <c r="S242" s="1" t="s">
        <v>254</v>
      </c>
      <c r="T242" s="1" t="s">
        <v>255</v>
      </c>
      <c r="U242" s="1" t="s">
        <v>256</v>
      </c>
      <c r="V242" s="1">
        <v>43</v>
      </c>
      <c r="W242" s="1">
        <v>7</v>
      </c>
      <c r="X242" s="1" t="s">
        <v>5734</v>
      </c>
      <c r="Y242" s="1" t="str">
        <f>HYPERLINK("http://dx.doi.org/10.1007/s40314-024-02928-8","http://dx.doi.org/10.1007/s40314-024-02928-8")</f>
        <v>http://dx.doi.org/10.1007/s40314-024-02928-8</v>
      </c>
      <c r="Z242" s="1">
        <v>22</v>
      </c>
      <c r="AA242" s="1" t="s">
        <v>260</v>
      </c>
      <c r="AB242" s="1" t="s">
        <v>67</v>
      </c>
      <c r="AC242" s="1" t="s">
        <v>137</v>
      </c>
      <c r="AD242" s="1" t="s">
        <v>48</v>
      </c>
      <c r="AE242" s="1" t="s">
        <v>48</v>
      </c>
    </row>
    <row r="243" spans="1:31" s="1" customFormat="1" ht="18.5" x14ac:dyDescent="0.45">
      <c r="A243" s="1" t="s">
        <v>5735</v>
      </c>
      <c r="B243" s="1" t="s">
        <v>5736</v>
      </c>
      <c r="C243" s="1" t="s">
        <v>5737</v>
      </c>
      <c r="D243" s="1" t="s">
        <v>3373</v>
      </c>
      <c r="E243" s="1" t="s">
        <v>1114</v>
      </c>
      <c r="F243" s="1" t="s">
        <v>5738</v>
      </c>
      <c r="G243" s="1" t="s">
        <v>5739</v>
      </c>
      <c r="H243" s="1" t="s">
        <v>5740</v>
      </c>
      <c r="I243" s="2">
        <v>2024</v>
      </c>
      <c r="J243" s="1" t="s">
        <v>5741</v>
      </c>
      <c r="K243" s="1" t="s">
        <v>5742</v>
      </c>
      <c r="L243" s="1" t="s">
        <v>5743</v>
      </c>
      <c r="M243" s="1">
        <v>131</v>
      </c>
      <c r="N243" s="1">
        <v>2</v>
      </c>
      <c r="O243" s="1">
        <v>1</v>
      </c>
      <c r="P243" s="1">
        <v>4</v>
      </c>
      <c r="Q243" s="1" t="s">
        <v>79</v>
      </c>
      <c r="R243" s="1" t="s">
        <v>80</v>
      </c>
      <c r="S243" s="1" t="s">
        <v>81</v>
      </c>
      <c r="T243" s="1" t="s">
        <v>3376</v>
      </c>
      <c r="U243" s="1" t="s">
        <v>3377</v>
      </c>
      <c r="V243" s="1">
        <v>135</v>
      </c>
      <c r="W243" s="1" t="s">
        <v>48</v>
      </c>
      <c r="X243" s="1" t="s">
        <v>5744</v>
      </c>
      <c r="Y243" s="1" t="str">
        <f>HYPERLINK("http://dx.doi.org/10.1016/j.intimp.2024.112251","http://dx.doi.org/10.1016/j.intimp.2024.112251")</f>
        <v>http://dx.doi.org/10.1016/j.intimp.2024.112251</v>
      </c>
      <c r="Z243" s="1">
        <v>15</v>
      </c>
      <c r="AA243" s="1" t="s">
        <v>3379</v>
      </c>
      <c r="AB243" s="1" t="s">
        <v>67</v>
      </c>
      <c r="AC243" s="1" t="s">
        <v>3379</v>
      </c>
      <c r="AD243" s="1">
        <v>38781608</v>
      </c>
      <c r="AE243" s="1" t="s">
        <v>48</v>
      </c>
    </row>
    <row r="244" spans="1:31" s="1" customFormat="1" ht="18.5" x14ac:dyDescent="0.45">
      <c r="A244" s="1" t="s">
        <v>5745</v>
      </c>
      <c r="B244" s="1" t="s">
        <v>5746</v>
      </c>
      <c r="C244" s="1" t="s">
        <v>5747</v>
      </c>
      <c r="D244" s="1" t="s">
        <v>2069</v>
      </c>
      <c r="E244" s="1" t="s">
        <v>1114</v>
      </c>
      <c r="F244" s="1" t="s">
        <v>5748</v>
      </c>
      <c r="G244" s="1" t="s">
        <v>5749</v>
      </c>
      <c r="H244" s="1" t="s">
        <v>5750</v>
      </c>
      <c r="I244" s="2">
        <v>2024</v>
      </c>
      <c r="J244" s="1" t="s">
        <v>5751</v>
      </c>
      <c r="K244" s="1" t="s">
        <v>5752</v>
      </c>
      <c r="L244" s="1" t="s">
        <v>5753</v>
      </c>
      <c r="M244" s="1">
        <v>67</v>
      </c>
      <c r="N244" s="1">
        <v>1</v>
      </c>
      <c r="O244" s="1">
        <v>6</v>
      </c>
      <c r="P244" s="1">
        <v>14</v>
      </c>
      <c r="Q244" s="1" t="s">
        <v>503</v>
      </c>
      <c r="R244" s="1" t="s">
        <v>504</v>
      </c>
      <c r="S244" s="1" t="s">
        <v>505</v>
      </c>
      <c r="T244" s="1" t="s">
        <v>2071</v>
      </c>
      <c r="U244" s="1" t="s">
        <v>2072</v>
      </c>
      <c r="V244" s="1">
        <v>206</v>
      </c>
      <c r="W244" s="1">
        <v>4</v>
      </c>
      <c r="X244" s="1" t="s">
        <v>5754</v>
      </c>
      <c r="Y244" s="1" t="str">
        <f>HYPERLINK("http://dx.doi.org/10.1007/s00203-024-03920-w","http://dx.doi.org/10.1007/s00203-024-03920-w")</f>
        <v>http://dx.doi.org/10.1007/s00203-024-03920-w</v>
      </c>
      <c r="Z244" s="1">
        <v>11</v>
      </c>
      <c r="AA244" s="1" t="s">
        <v>824</v>
      </c>
      <c r="AB244" s="1" t="s">
        <v>67</v>
      </c>
      <c r="AC244" s="1" t="s">
        <v>824</v>
      </c>
      <c r="AD244" s="1">
        <v>38462552</v>
      </c>
      <c r="AE244" s="1" t="s">
        <v>48</v>
      </c>
    </row>
    <row r="245" spans="1:31" s="1" customFormat="1" ht="18.5" x14ac:dyDescent="0.45">
      <c r="A245" s="1" t="s">
        <v>5713</v>
      </c>
      <c r="B245" s="1" t="s">
        <v>5714</v>
      </c>
      <c r="C245" s="1" t="s">
        <v>5755</v>
      </c>
      <c r="D245" s="1" t="s">
        <v>4869</v>
      </c>
      <c r="E245" s="1" t="s">
        <v>53</v>
      </c>
      <c r="F245" s="1" t="s">
        <v>5756</v>
      </c>
      <c r="G245" s="1" t="s">
        <v>5757</v>
      </c>
      <c r="H245" s="1" t="s">
        <v>5758</v>
      </c>
      <c r="I245" s="2">
        <v>2024</v>
      </c>
      <c r="J245" s="1" t="s">
        <v>5759</v>
      </c>
      <c r="K245" s="1" t="s">
        <v>5718</v>
      </c>
      <c r="L245" s="1" t="s">
        <v>5760</v>
      </c>
      <c r="M245" s="1">
        <v>46</v>
      </c>
      <c r="N245" s="1">
        <v>1</v>
      </c>
      <c r="O245" s="1">
        <v>4</v>
      </c>
      <c r="P245" s="1">
        <v>4</v>
      </c>
      <c r="Q245" s="1" t="s">
        <v>448</v>
      </c>
      <c r="R245" s="1" t="s">
        <v>449</v>
      </c>
      <c r="S245" s="1" t="s">
        <v>450</v>
      </c>
      <c r="T245" s="1" t="s">
        <v>4872</v>
      </c>
      <c r="U245" s="1" t="s">
        <v>4873</v>
      </c>
      <c r="V245" s="1">
        <v>133</v>
      </c>
      <c r="W245" s="1">
        <v>3</v>
      </c>
      <c r="X245" s="1" t="s">
        <v>5761</v>
      </c>
      <c r="Y245" s="1" t="str">
        <f>HYPERLINK("http://dx.doi.org/10.1007/s12040-024-02332-0","http://dx.doi.org/10.1007/s12040-024-02332-0")</f>
        <v>http://dx.doi.org/10.1007/s12040-024-02332-0</v>
      </c>
      <c r="Z245" s="1">
        <v>14</v>
      </c>
      <c r="AA245" s="1" t="s">
        <v>4877</v>
      </c>
      <c r="AB245" s="1" t="s">
        <v>67</v>
      </c>
      <c r="AC245" s="1" t="s">
        <v>4878</v>
      </c>
      <c r="AD245" s="1" t="s">
        <v>48</v>
      </c>
      <c r="AE245" s="1" t="s">
        <v>48</v>
      </c>
    </row>
    <row r="246" spans="1:31" s="1" customFormat="1" ht="18.5" x14ac:dyDescent="0.45">
      <c r="A246" s="1" t="s">
        <v>5762</v>
      </c>
      <c r="B246" s="1" t="s">
        <v>5763</v>
      </c>
      <c r="C246" s="1" t="s">
        <v>5764</v>
      </c>
      <c r="D246" s="1" t="s">
        <v>5765</v>
      </c>
      <c r="E246" s="1" t="s">
        <v>53</v>
      </c>
      <c r="F246" s="1" t="s">
        <v>48</v>
      </c>
      <c r="G246" s="1" t="s">
        <v>48</v>
      </c>
      <c r="H246" s="1" t="s">
        <v>5766</v>
      </c>
      <c r="I246" s="2">
        <v>2024</v>
      </c>
      <c r="J246" s="1" t="s">
        <v>5767</v>
      </c>
      <c r="K246" s="1" t="s">
        <v>5768</v>
      </c>
      <c r="L246" s="1" t="s">
        <v>5769</v>
      </c>
      <c r="M246" s="1">
        <v>23</v>
      </c>
      <c r="N246" s="1">
        <v>0</v>
      </c>
      <c r="O246" s="1">
        <v>0</v>
      </c>
      <c r="P246" s="1">
        <v>3</v>
      </c>
      <c r="Q246" s="1" t="s">
        <v>5770</v>
      </c>
      <c r="R246" s="1" t="s">
        <v>5771</v>
      </c>
      <c r="S246" s="1" t="s">
        <v>5772</v>
      </c>
      <c r="T246" s="1" t="s">
        <v>48</v>
      </c>
      <c r="U246" s="1" t="s">
        <v>5773</v>
      </c>
      <c r="V246" s="1">
        <v>14</v>
      </c>
      <c r="W246" s="1">
        <v>6</v>
      </c>
      <c r="X246" s="1" t="s">
        <v>5774</v>
      </c>
      <c r="Y246" s="1" t="str">
        <f>HYPERLINK("http://dx.doi.org/10.1063/5.0204668","http://dx.doi.org/10.1063/5.0204668")</f>
        <v>http://dx.doi.org/10.1063/5.0204668</v>
      </c>
      <c r="Z246" s="1">
        <v>10</v>
      </c>
      <c r="AA246" s="1" t="s">
        <v>5775</v>
      </c>
      <c r="AB246" s="1" t="s">
        <v>67</v>
      </c>
      <c r="AC246" s="1" t="s">
        <v>5776</v>
      </c>
      <c r="AD246" s="1" t="s">
        <v>48</v>
      </c>
      <c r="AE246" s="1" t="s">
        <v>125</v>
      </c>
    </row>
    <row r="247" spans="1:31" s="1" customFormat="1" ht="18.5" x14ac:dyDescent="0.45">
      <c r="A247" s="1" t="s">
        <v>5790</v>
      </c>
      <c r="B247" s="1" t="s">
        <v>5791</v>
      </c>
      <c r="C247" s="1" t="s">
        <v>5792</v>
      </c>
      <c r="D247" s="1" t="s">
        <v>51</v>
      </c>
      <c r="E247" s="1" t="s">
        <v>53</v>
      </c>
      <c r="F247" s="1" t="s">
        <v>5793</v>
      </c>
      <c r="G247" s="1" t="s">
        <v>5794</v>
      </c>
      <c r="H247" s="1" t="s">
        <v>5795</v>
      </c>
      <c r="I247" s="2">
        <v>2024</v>
      </c>
      <c r="J247" s="1" t="s">
        <v>5796</v>
      </c>
      <c r="K247" s="1" t="s">
        <v>5797</v>
      </c>
      <c r="L247" s="1" t="s">
        <v>5798</v>
      </c>
      <c r="M247" s="1">
        <v>47</v>
      </c>
      <c r="N247" s="1">
        <v>3</v>
      </c>
      <c r="O247" s="1">
        <v>5</v>
      </c>
      <c r="P247" s="1">
        <v>13</v>
      </c>
      <c r="Q247" s="1" t="s">
        <v>60</v>
      </c>
      <c r="R247" s="1" t="s">
        <v>61</v>
      </c>
      <c r="S247" s="1" t="s">
        <v>62</v>
      </c>
      <c r="T247" s="1" t="s">
        <v>63</v>
      </c>
      <c r="U247" s="1" t="s">
        <v>64</v>
      </c>
      <c r="V247" s="1">
        <v>73</v>
      </c>
      <c r="W247" s="1">
        <v>3</v>
      </c>
      <c r="X247" s="1" t="s">
        <v>5799</v>
      </c>
      <c r="Y247" s="1" t="str">
        <f>HYPERLINK("http://dx.doi.org/10.1016/j.asr.2023.10.051","http://dx.doi.org/10.1016/j.asr.2023.10.051")</f>
        <v>http://dx.doi.org/10.1016/j.asr.2023.10.051</v>
      </c>
      <c r="Z247" s="1">
        <v>14</v>
      </c>
      <c r="AA247" s="1" t="s">
        <v>66</v>
      </c>
      <c r="AB247" s="1" t="s">
        <v>67</v>
      </c>
      <c r="AC247" s="1" t="s">
        <v>68</v>
      </c>
      <c r="AD247" s="1" t="s">
        <v>48</v>
      </c>
      <c r="AE247" s="1" t="s">
        <v>48</v>
      </c>
    </row>
    <row r="248" spans="1:31" s="1" customFormat="1" ht="18.5" x14ac:dyDescent="0.45">
      <c r="A248" s="1" t="s">
        <v>5800</v>
      </c>
      <c r="B248" s="1" t="s">
        <v>5801</v>
      </c>
      <c r="C248" s="1" t="s">
        <v>5802</v>
      </c>
      <c r="D248" s="1" t="s">
        <v>5253</v>
      </c>
      <c r="E248" s="1" t="s">
        <v>53</v>
      </c>
      <c r="F248" s="1" t="s">
        <v>48</v>
      </c>
      <c r="G248" s="1" t="s">
        <v>5803</v>
      </c>
      <c r="H248" s="1" t="s">
        <v>5804</v>
      </c>
      <c r="I248" s="2">
        <v>2024</v>
      </c>
      <c r="J248" s="1" t="s">
        <v>5805</v>
      </c>
      <c r="K248" s="1" t="s">
        <v>5630</v>
      </c>
      <c r="L248" s="1" t="s">
        <v>3901</v>
      </c>
      <c r="M248" s="1">
        <v>56</v>
      </c>
      <c r="N248" s="1">
        <v>6</v>
      </c>
      <c r="O248" s="1">
        <v>0</v>
      </c>
      <c r="P248" s="1">
        <v>0</v>
      </c>
      <c r="Q248" s="1" t="s">
        <v>2989</v>
      </c>
      <c r="R248" s="1" t="s">
        <v>2990</v>
      </c>
      <c r="S248" s="1" t="s">
        <v>2991</v>
      </c>
      <c r="T248" s="1" t="s">
        <v>5256</v>
      </c>
      <c r="U248" s="1" t="s">
        <v>5257</v>
      </c>
      <c r="V248" s="1">
        <v>104</v>
      </c>
      <c r="W248" s="1">
        <v>3</v>
      </c>
      <c r="X248" s="1" t="s">
        <v>5806</v>
      </c>
      <c r="Y248" s="1" t="str">
        <f>HYPERLINK("http://dx.doi.org/10.1002/zamm.202300657","http://dx.doi.org/10.1002/zamm.202300657")</f>
        <v>http://dx.doi.org/10.1002/zamm.202300657</v>
      </c>
      <c r="Z248" s="1">
        <v>20</v>
      </c>
      <c r="AA248" s="1" t="s">
        <v>5259</v>
      </c>
      <c r="AB248" s="1" t="s">
        <v>67</v>
      </c>
      <c r="AC248" s="1" t="s">
        <v>4361</v>
      </c>
      <c r="AD248" s="1" t="s">
        <v>48</v>
      </c>
      <c r="AE248" s="1" t="s">
        <v>48</v>
      </c>
    </row>
    <row r="249" spans="1:31" s="1" customFormat="1" ht="18.5" x14ac:dyDescent="0.45">
      <c r="A249" s="1" t="s">
        <v>5810</v>
      </c>
      <c r="B249" s="1" t="s">
        <v>5811</v>
      </c>
      <c r="C249" s="1" t="s">
        <v>5812</v>
      </c>
      <c r="D249" s="1" t="s">
        <v>3525</v>
      </c>
      <c r="E249" s="1" t="s">
        <v>53</v>
      </c>
      <c r="F249" s="1" t="s">
        <v>5813</v>
      </c>
      <c r="G249" s="1" t="s">
        <v>5814</v>
      </c>
      <c r="H249" s="1" t="s">
        <v>5815</v>
      </c>
      <c r="I249" s="2">
        <v>2024</v>
      </c>
      <c r="J249" s="1" t="s">
        <v>5816</v>
      </c>
      <c r="K249" s="1" t="s">
        <v>5817</v>
      </c>
      <c r="L249" s="1" t="s">
        <v>5818</v>
      </c>
      <c r="M249" s="1">
        <v>89</v>
      </c>
      <c r="N249" s="1">
        <v>1</v>
      </c>
      <c r="O249" s="1">
        <v>1</v>
      </c>
      <c r="P249" s="1">
        <v>6</v>
      </c>
      <c r="Q249" s="1" t="s">
        <v>60</v>
      </c>
      <c r="R249" s="1" t="s">
        <v>61</v>
      </c>
      <c r="S249" s="1" t="s">
        <v>62</v>
      </c>
      <c r="T249" s="1" t="s">
        <v>3529</v>
      </c>
      <c r="U249" s="1" t="s">
        <v>3530</v>
      </c>
      <c r="V249" s="1">
        <v>217</v>
      </c>
      <c r="W249" s="1" t="s">
        <v>48</v>
      </c>
      <c r="X249" s="1" t="s">
        <v>5819</v>
      </c>
      <c r="Y249" s="1" t="str">
        <f>HYPERLINK("http://dx.doi.org/10.1016/j.agsy.2024.103918","http://dx.doi.org/10.1016/j.agsy.2024.103918")</f>
        <v>http://dx.doi.org/10.1016/j.agsy.2024.103918</v>
      </c>
      <c r="Z249" s="1">
        <v>14</v>
      </c>
      <c r="AA249" s="1" t="s">
        <v>3532</v>
      </c>
      <c r="AB249" s="1" t="s">
        <v>67</v>
      </c>
      <c r="AC249" s="1" t="s">
        <v>3370</v>
      </c>
      <c r="AD249" s="1" t="s">
        <v>48</v>
      </c>
      <c r="AE249" s="1" t="s">
        <v>48</v>
      </c>
    </row>
    <row r="250" spans="1:31" s="1" customFormat="1" ht="18.5" x14ac:dyDescent="0.45">
      <c r="A250" s="1" t="s">
        <v>5825</v>
      </c>
      <c r="B250" s="1" t="s">
        <v>5826</v>
      </c>
      <c r="C250" s="1" t="s">
        <v>5827</v>
      </c>
      <c r="D250" s="1" t="s">
        <v>1273</v>
      </c>
      <c r="E250" s="1" t="s">
        <v>53</v>
      </c>
      <c r="F250" s="1" t="s">
        <v>5828</v>
      </c>
      <c r="G250" s="1" t="s">
        <v>5829</v>
      </c>
      <c r="H250" s="1" t="s">
        <v>5830</v>
      </c>
      <c r="I250" s="2">
        <v>2024</v>
      </c>
      <c r="J250" s="1" t="s">
        <v>5831</v>
      </c>
      <c r="K250" s="1" t="s">
        <v>5832</v>
      </c>
      <c r="L250" s="1" t="s">
        <v>5181</v>
      </c>
      <c r="M250" s="1">
        <v>63</v>
      </c>
      <c r="N250" s="1">
        <v>0</v>
      </c>
      <c r="O250" s="1">
        <v>4</v>
      </c>
      <c r="P250" s="1">
        <v>4</v>
      </c>
      <c r="Q250" s="1" t="s">
        <v>215</v>
      </c>
      <c r="R250" s="1" t="s">
        <v>158</v>
      </c>
      <c r="S250" s="1" t="s">
        <v>216</v>
      </c>
      <c r="T250" s="1" t="s">
        <v>1276</v>
      </c>
      <c r="U250" s="1" t="s">
        <v>1277</v>
      </c>
      <c r="V250" s="1">
        <v>137</v>
      </c>
      <c r="W250" s="1" t="s">
        <v>48</v>
      </c>
      <c r="X250" s="1" t="s">
        <v>5833</v>
      </c>
      <c r="Y250" s="1" t="str">
        <f>HYPERLINK("http://dx.doi.org/10.1016/j.engappai.2024.109149","http://dx.doi.org/10.1016/j.engappai.2024.109149")</f>
        <v>http://dx.doi.org/10.1016/j.engappai.2024.109149</v>
      </c>
      <c r="Z250" s="1">
        <v>39</v>
      </c>
      <c r="AA250" s="1" t="s">
        <v>1281</v>
      </c>
      <c r="AB250" s="1" t="s">
        <v>67</v>
      </c>
      <c r="AC250" s="1" t="s">
        <v>1282</v>
      </c>
      <c r="AD250" s="1" t="s">
        <v>48</v>
      </c>
      <c r="AE250" s="1" t="s">
        <v>48</v>
      </c>
    </row>
    <row r="251" spans="1:31" s="1" customFormat="1" ht="18.5" x14ac:dyDescent="0.45">
      <c r="A251" s="1" t="s">
        <v>5834</v>
      </c>
      <c r="B251" s="1" t="s">
        <v>5835</v>
      </c>
      <c r="C251" s="1" t="s">
        <v>5836</v>
      </c>
      <c r="D251" s="1" t="s">
        <v>571</v>
      </c>
      <c r="E251" s="1" t="s">
        <v>53</v>
      </c>
      <c r="F251" s="1" t="s">
        <v>5837</v>
      </c>
      <c r="G251" s="1" t="s">
        <v>5838</v>
      </c>
      <c r="H251" s="1" t="s">
        <v>5839</v>
      </c>
      <c r="I251" s="2">
        <v>2024</v>
      </c>
      <c r="J251" s="1" t="s">
        <v>5840</v>
      </c>
      <c r="K251" s="1" t="s">
        <v>5841</v>
      </c>
      <c r="L251" s="1" t="s">
        <v>688</v>
      </c>
      <c r="M251" s="1">
        <v>51</v>
      </c>
      <c r="N251" s="1">
        <v>0</v>
      </c>
      <c r="O251" s="1">
        <v>8</v>
      </c>
      <c r="P251" s="1">
        <v>9</v>
      </c>
      <c r="Q251" s="1" t="s">
        <v>572</v>
      </c>
      <c r="R251" s="1" t="s">
        <v>573</v>
      </c>
      <c r="S251" s="1" t="s">
        <v>574</v>
      </c>
      <c r="T251" s="1" t="s">
        <v>575</v>
      </c>
      <c r="U251" s="1" t="s">
        <v>576</v>
      </c>
      <c r="V251" s="1">
        <v>58</v>
      </c>
      <c r="W251" s="1">
        <v>4</v>
      </c>
      <c r="X251" s="1" t="s">
        <v>5842</v>
      </c>
      <c r="Y251" s="1" t="str">
        <f>HYPERLINK("http://dx.doi.org/10.1051/ro/2024104","http://dx.doi.org/10.1051/ro/2024104")</f>
        <v>http://dx.doi.org/10.1051/ro/2024104</v>
      </c>
      <c r="Z251" s="1">
        <v>29</v>
      </c>
      <c r="AA251" s="1" t="s">
        <v>580</v>
      </c>
      <c r="AB251" s="1" t="s">
        <v>67</v>
      </c>
      <c r="AC251" s="1" t="s">
        <v>580</v>
      </c>
      <c r="AD251" s="1" t="s">
        <v>48</v>
      </c>
      <c r="AE251" s="1" t="s">
        <v>581</v>
      </c>
    </row>
    <row r="252" spans="1:31" s="1" customFormat="1" ht="18.5" x14ac:dyDescent="0.45">
      <c r="A252" s="1" t="s">
        <v>5855</v>
      </c>
      <c r="B252" s="1" t="s">
        <v>5856</v>
      </c>
      <c r="C252" s="1" t="s">
        <v>5857</v>
      </c>
      <c r="D252" s="1" t="s">
        <v>5858</v>
      </c>
      <c r="E252" s="1" t="s">
        <v>53</v>
      </c>
      <c r="F252" s="1" t="s">
        <v>5859</v>
      </c>
      <c r="G252" s="1" t="s">
        <v>48</v>
      </c>
      <c r="H252" s="1" t="s">
        <v>5860</v>
      </c>
      <c r="I252" s="2">
        <v>2024</v>
      </c>
      <c r="J252" s="1" t="s">
        <v>5861</v>
      </c>
      <c r="K252" s="1" t="s">
        <v>5862</v>
      </c>
      <c r="L252" s="1" t="s">
        <v>702</v>
      </c>
      <c r="M252" s="1">
        <v>81</v>
      </c>
      <c r="N252" s="1">
        <v>0</v>
      </c>
      <c r="O252" s="1">
        <v>0</v>
      </c>
      <c r="P252" s="1">
        <v>1</v>
      </c>
      <c r="Q252" s="1" t="s">
        <v>347</v>
      </c>
      <c r="R252" s="1" t="s">
        <v>348</v>
      </c>
      <c r="S252" s="1" t="s">
        <v>349</v>
      </c>
      <c r="T252" s="1" t="s">
        <v>5863</v>
      </c>
      <c r="U252" s="1" t="s">
        <v>5864</v>
      </c>
      <c r="V252" s="1">
        <v>24</v>
      </c>
      <c r="W252" s="1">
        <v>1</v>
      </c>
      <c r="X252" s="1" t="s">
        <v>5865</v>
      </c>
      <c r="Y252" s="1" t="str">
        <f>HYPERLINK("http://dx.doi.org/10.1002/pa.2891","http://dx.doi.org/10.1002/pa.2891")</f>
        <v>http://dx.doi.org/10.1002/pa.2891</v>
      </c>
      <c r="Z252" s="1">
        <v>12</v>
      </c>
      <c r="AA252" s="1" t="s">
        <v>975</v>
      </c>
      <c r="AB252" s="1" t="s">
        <v>124</v>
      </c>
      <c r="AC252" s="1" t="s">
        <v>975</v>
      </c>
      <c r="AD252" s="1" t="s">
        <v>48</v>
      </c>
      <c r="AE252" s="1" t="s">
        <v>48</v>
      </c>
    </row>
    <row r="253" spans="1:31" s="1" customFormat="1" ht="18.5" x14ac:dyDescent="0.45">
      <c r="A253" s="1" t="s">
        <v>5883</v>
      </c>
      <c r="B253" s="1" t="s">
        <v>5884</v>
      </c>
      <c r="C253" s="1" t="s">
        <v>5885</v>
      </c>
      <c r="D253" s="1" t="s">
        <v>2205</v>
      </c>
      <c r="E253" s="1" t="s">
        <v>53</v>
      </c>
      <c r="F253" s="1" t="s">
        <v>5886</v>
      </c>
      <c r="G253" s="1" t="s">
        <v>5887</v>
      </c>
      <c r="H253" s="1" t="s">
        <v>5888</v>
      </c>
      <c r="I253" s="2">
        <v>2024</v>
      </c>
      <c r="J253" s="1" t="s">
        <v>5889</v>
      </c>
      <c r="K253" s="1" t="s">
        <v>5890</v>
      </c>
      <c r="L253" s="1" t="s">
        <v>5891</v>
      </c>
      <c r="M253" s="1">
        <v>77</v>
      </c>
      <c r="N253" s="1">
        <v>1</v>
      </c>
      <c r="O253" s="1">
        <v>3</v>
      </c>
      <c r="P253" s="1">
        <v>3</v>
      </c>
      <c r="Q253" s="1" t="s">
        <v>503</v>
      </c>
      <c r="R253" s="1" t="s">
        <v>504</v>
      </c>
      <c r="S253" s="1" t="s">
        <v>505</v>
      </c>
      <c r="T253" s="1" t="s">
        <v>2207</v>
      </c>
      <c r="U253" s="1" t="s">
        <v>2208</v>
      </c>
      <c r="V253" s="1">
        <v>52</v>
      </c>
      <c r="W253" s="1">
        <v>12</v>
      </c>
      <c r="X253" s="1" t="s">
        <v>5892</v>
      </c>
      <c r="Y253" s="1" t="str">
        <f>HYPERLINK("http://dx.doi.org/10.1007/s12524-024-02047-1","http://dx.doi.org/10.1007/s12524-024-02047-1")</f>
        <v>http://dx.doi.org/10.1007/s12524-024-02047-1</v>
      </c>
      <c r="Z253" s="1">
        <v>24</v>
      </c>
      <c r="AA253" s="1" t="s">
        <v>1896</v>
      </c>
      <c r="AB253" s="1" t="s">
        <v>67</v>
      </c>
      <c r="AC253" s="1" t="s">
        <v>1897</v>
      </c>
      <c r="AD253" s="1" t="s">
        <v>48</v>
      </c>
      <c r="AE253" s="1" t="s">
        <v>48</v>
      </c>
    </row>
    <row r="254" spans="1:31" s="1" customFormat="1" ht="18.5" x14ac:dyDescent="0.45">
      <c r="A254" s="1" t="s">
        <v>5893</v>
      </c>
      <c r="B254" s="1" t="s">
        <v>5894</v>
      </c>
      <c r="C254" s="1" t="s">
        <v>5895</v>
      </c>
      <c r="D254" s="1" t="s">
        <v>5896</v>
      </c>
      <c r="E254" s="1" t="s">
        <v>53</v>
      </c>
      <c r="F254" s="1" t="s">
        <v>5897</v>
      </c>
      <c r="G254" s="1" t="s">
        <v>48</v>
      </c>
      <c r="H254" s="1" t="s">
        <v>5898</v>
      </c>
      <c r="I254" s="2">
        <v>2024</v>
      </c>
      <c r="J254" s="1" t="s">
        <v>5899</v>
      </c>
      <c r="K254" s="1" t="s">
        <v>5900</v>
      </c>
      <c r="L254" s="1" t="s">
        <v>5408</v>
      </c>
      <c r="M254" s="1">
        <v>55</v>
      </c>
      <c r="N254" s="1">
        <v>3</v>
      </c>
      <c r="O254" s="1">
        <v>1</v>
      </c>
      <c r="P254" s="1">
        <v>5</v>
      </c>
      <c r="Q254" s="1" t="s">
        <v>252</v>
      </c>
      <c r="R254" s="1" t="s">
        <v>253</v>
      </c>
      <c r="S254" s="1" t="s">
        <v>254</v>
      </c>
      <c r="T254" s="1" t="s">
        <v>5901</v>
      </c>
      <c r="U254" s="1" t="s">
        <v>5902</v>
      </c>
      <c r="V254" s="1">
        <v>17</v>
      </c>
      <c r="W254" s="1">
        <v>1</v>
      </c>
      <c r="X254" s="1" t="s">
        <v>5905</v>
      </c>
      <c r="Y254" s="1" t="str">
        <f>HYPERLINK("http://dx.doi.org/10.1007/s12065-023-00897-1","http://dx.doi.org/10.1007/s12065-023-00897-1")</f>
        <v>http://dx.doi.org/10.1007/s12065-023-00897-1</v>
      </c>
      <c r="Z254" s="1">
        <v>1</v>
      </c>
      <c r="AA254" s="1" t="s">
        <v>549</v>
      </c>
      <c r="AB254" s="1" t="s">
        <v>124</v>
      </c>
      <c r="AC254" s="1" t="s">
        <v>292</v>
      </c>
      <c r="AD254" s="1" t="s">
        <v>48</v>
      </c>
      <c r="AE254" s="1" t="s">
        <v>48</v>
      </c>
    </row>
    <row r="255" spans="1:31" s="1" customFormat="1" ht="18.5" x14ac:dyDescent="0.45">
      <c r="A255" s="1" t="s">
        <v>5906</v>
      </c>
      <c r="B255" s="1" t="s">
        <v>5907</v>
      </c>
      <c r="C255" s="1" t="s">
        <v>5908</v>
      </c>
      <c r="D255" s="1" t="s">
        <v>4273</v>
      </c>
      <c r="E255" s="1" t="s">
        <v>53</v>
      </c>
      <c r="F255" s="1" t="s">
        <v>5909</v>
      </c>
      <c r="G255" s="1" t="s">
        <v>48</v>
      </c>
      <c r="H255" s="1" t="s">
        <v>5910</v>
      </c>
      <c r="I255" s="2">
        <v>2024</v>
      </c>
      <c r="J255" s="1" t="s">
        <v>5911</v>
      </c>
      <c r="K255" s="1" t="s">
        <v>5912</v>
      </c>
      <c r="L255" s="1" t="s">
        <v>3465</v>
      </c>
      <c r="M255" s="1">
        <v>18</v>
      </c>
      <c r="N255" s="1">
        <v>0</v>
      </c>
      <c r="O255" s="1">
        <v>1</v>
      </c>
      <c r="P255" s="1">
        <v>1</v>
      </c>
      <c r="Q255" s="1" t="s">
        <v>4276</v>
      </c>
      <c r="R255" s="1" t="s">
        <v>4277</v>
      </c>
      <c r="S255" s="1" t="s">
        <v>4278</v>
      </c>
      <c r="T255" s="1" t="s">
        <v>4279</v>
      </c>
      <c r="U255" s="1" t="s">
        <v>48</v>
      </c>
      <c r="V255" s="1">
        <v>12</v>
      </c>
      <c r="W255" s="1" t="s">
        <v>48</v>
      </c>
      <c r="X255" s="1" t="s">
        <v>5913</v>
      </c>
      <c r="Y255" s="1" t="str">
        <f>HYPERLINK("http://dx.doi.org/10.1109/ACCESS.2024.3481640","http://dx.doi.org/10.1109/ACCESS.2024.3481640")</f>
        <v>http://dx.doi.org/10.1109/ACCESS.2024.3481640</v>
      </c>
      <c r="Z255" s="1">
        <v>13</v>
      </c>
      <c r="AA255" s="1" t="s">
        <v>4281</v>
      </c>
      <c r="AB255" s="1" t="s">
        <v>67</v>
      </c>
      <c r="AC255" s="1" t="s">
        <v>4282</v>
      </c>
      <c r="AD255" s="1" t="s">
        <v>48</v>
      </c>
      <c r="AE255" s="1" t="s">
        <v>125</v>
      </c>
    </row>
    <row r="256" spans="1:31" s="1" customFormat="1" ht="18.5" x14ac:dyDescent="0.45">
      <c r="A256" s="1" t="s">
        <v>5940</v>
      </c>
      <c r="B256" s="1" t="s">
        <v>5941</v>
      </c>
      <c r="C256" s="1" t="s">
        <v>5942</v>
      </c>
      <c r="D256" s="1" t="s">
        <v>5943</v>
      </c>
      <c r="E256" s="1" t="s">
        <v>53</v>
      </c>
      <c r="F256" s="1" t="s">
        <v>5944</v>
      </c>
      <c r="G256" s="1" t="s">
        <v>5945</v>
      </c>
      <c r="H256" s="1" t="s">
        <v>5946</v>
      </c>
      <c r="I256" s="2">
        <v>2024</v>
      </c>
      <c r="J256" s="1" t="s">
        <v>5947</v>
      </c>
      <c r="K256" s="1" t="s">
        <v>5948</v>
      </c>
      <c r="L256" s="1" t="s">
        <v>5949</v>
      </c>
      <c r="M256" s="1">
        <v>58</v>
      </c>
      <c r="N256" s="1">
        <v>1</v>
      </c>
      <c r="O256" s="1">
        <v>1</v>
      </c>
      <c r="P256" s="1">
        <v>1</v>
      </c>
      <c r="Q256" s="1" t="s">
        <v>145</v>
      </c>
      <c r="R256" s="1" t="s">
        <v>146</v>
      </c>
      <c r="S256" s="1" t="s">
        <v>147</v>
      </c>
      <c r="T256" s="1" t="s">
        <v>5950</v>
      </c>
      <c r="U256" s="1" t="s">
        <v>5951</v>
      </c>
      <c r="V256" s="1">
        <v>29</v>
      </c>
      <c r="W256" s="1" t="s">
        <v>5954</v>
      </c>
      <c r="X256" s="1" t="s">
        <v>5955</v>
      </c>
      <c r="Y256" s="1" t="str">
        <f>HYPERLINK("http://dx.doi.org/10.1080/13557858.2024.2342326","http://dx.doi.org/10.1080/13557858.2024.2342326")</f>
        <v>http://dx.doi.org/10.1080/13557858.2024.2342326</v>
      </c>
      <c r="Z256" s="1">
        <v>18</v>
      </c>
      <c r="AA256" s="1" t="s">
        <v>5956</v>
      </c>
      <c r="AB256" s="1" t="s">
        <v>944</v>
      </c>
      <c r="AC256" s="1" t="s">
        <v>5956</v>
      </c>
      <c r="AD256" s="1">
        <v>38627237</v>
      </c>
      <c r="AE256" s="1" t="s">
        <v>48</v>
      </c>
    </row>
    <row r="257" spans="1:31" s="1" customFormat="1" ht="18.5" x14ac:dyDescent="0.45">
      <c r="A257" s="1" t="s">
        <v>5957</v>
      </c>
      <c r="B257" s="1" t="s">
        <v>5958</v>
      </c>
      <c r="C257" s="1" t="s">
        <v>5959</v>
      </c>
      <c r="D257" s="1" t="s">
        <v>5960</v>
      </c>
      <c r="E257" s="1" t="s">
        <v>53</v>
      </c>
      <c r="F257" s="1" t="s">
        <v>5961</v>
      </c>
      <c r="G257" s="1" t="s">
        <v>5962</v>
      </c>
      <c r="H257" s="1" t="s">
        <v>5963</v>
      </c>
      <c r="I257" s="2">
        <v>2024</v>
      </c>
      <c r="J257" s="1" t="s">
        <v>5964</v>
      </c>
      <c r="K257" s="1" t="s">
        <v>5965</v>
      </c>
      <c r="L257" s="1" t="s">
        <v>5966</v>
      </c>
      <c r="M257" s="1">
        <v>113</v>
      </c>
      <c r="N257" s="1">
        <v>1</v>
      </c>
      <c r="O257" s="1">
        <v>4</v>
      </c>
      <c r="P257" s="1">
        <v>8</v>
      </c>
      <c r="Q257" s="1" t="s">
        <v>347</v>
      </c>
      <c r="R257" s="1" t="s">
        <v>348</v>
      </c>
      <c r="S257" s="1" t="s">
        <v>349</v>
      </c>
      <c r="T257" s="1" t="s">
        <v>5967</v>
      </c>
      <c r="U257" s="1" t="s">
        <v>5968</v>
      </c>
      <c r="V257" s="1">
        <v>40</v>
      </c>
      <c r="W257" s="1">
        <v>5</v>
      </c>
      <c r="X257" s="1" t="s">
        <v>5969</v>
      </c>
      <c r="Y257" s="1" t="str">
        <f>HYPERLINK("http://dx.doi.org/10.1002/rra.4261","http://dx.doi.org/10.1002/rra.4261")</f>
        <v>http://dx.doi.org/10.1002/rra.4261</v>
      </c>
      <c r="Z257" s="1">
        <v>20</v>
      </c>
      <c r="AA257" s="1" t="s">
        <v>5970</v>
      </c>
      <c r="AB257" s="1" t="s">
        <v>67</v>
      </c>
      <c r="AC257" s="1" t="s">
        <v>5724</v>
      </c>
      <c r="AD257" s="1" t="s">
        <v>48</v>
      </c>
      <c r="AE257" s="1" t="s">
        <v>48</v>
      </c>
    </row>
    <row r="258" spans="1:31" s="1" customFormat="1" ht="18.5" x14ac:dyDescent="0.45">
      <c r="A258" s="1" t="s">
        <v>5978</v>
      </c>
      <c r="B258" s="1" t="s">
        <v>5979</v>
      </c>
      <c r="C258" s="1" t="s">
        <v>5980</v>
      </c>
      <c r="D258" s="1" t="s">
        <v>2082</v>
      </c>
      <c r="E258" s="1" t="s">
        <v>53</v>
      </c>
      <c r="F258" s="1" t="s">
        <v>5981</v>
      </c>
      <c r="G258" s="1" t="s">
        <v>5982</v>
      </c>
      <c r="H258" s="1" t="s">
        <v>5983</v>
      </c>
      <c r="I258" s="2">
        <v>2024</v>
      </c>
      <c r="J258" s="1" t="s">
        <v>5984</v>
      </c>
      <c r="K258" s="1" t="s">
        <v>5985</v>
      </c>
      <c r="L258" s="1" t="s">
        <v>5986</v>
      </c>
      <c r="M258" s="1">
        <v>49</v>
      </c>
      <c r="N258" s="1">
        <v>2</v>
      </c>
      <c r="O258" s="1">
        <v>7</v>
      </c>
      <c r="P258" s="1">
        <v>7</v>
      </c>
      <c r="Q258" s="1" t="s">
        <v>79</v>
      </c>
      <c r="R258" s="1" t="s">
        <v>80</v>
      </c>
      <c r="S258" s="1" t="s">
        <v>81</v>
      </c>
      <c r="T258" s="1" t="s">
        <v>2085</v>
      </c>
      <c r="U258" s="1" t="s">
        <v>48</v>
      </c>
      <c r="V258" s="1">
        <v>56</v>
      </c>
      <c r="W258" s="1" t="s">
        <v>48</v>
      </c>
      <c r="X258" s="1" t="s">
        <v>5987</v>
      </c>
      <c r="Y258" s="1" t="str">
        <f>HYPERLINK("http://dx.doi.org/10.1016/j.uclim.2024.102010","http://dx.doi.org/10.1016/j.uclim.2024.102010")</f>
        <v>http://dx.doi.org/10.1016/j.uclim.2024.102010</v>
      </c>
      <c r="Z258" s="1">
        <v>15</v>
      </c>
      <c r="AA258" s="1" t="s">
        <v>2089</v>
      </c>
      <c r="AB258" s="1" t="s">
        <v>67</v>
      </c>
      <c r="AC258" s="1" t="s">
        <v>2090</v>
      </c>
      <c r="AD258" s="1" t="s">
        <v>48</v>
      </c>
      <c r="AE258" s="1" t="s">
        <v>48</v>
      </c>
    </row>
    <row r="259" spans="1:31" s="1" customFormat="1" ht="18.5" x14ac:dyDescent="0.45">
      <c r="A259" s="1" t="s">
        <v>6011</v>
      </c>
      <c r="B259" s="1" t="s">
        <v>6012</v>
      </c>
      <c r="C259" s="1" t="s">
        <v>6013</v>
      </c>
      <c r="D259" s="1" t="s">
        <v>6014</v>
      </c>
      <c r="E259" s="1" t="s">
        <v>53</v>
      </c>
      <c r="F259" s="1" t="s">
        <v>6015</v>
      </c>
      <c r="G259" s="1" t="s">
        <v>6016</v>
      </c>
      <c r="H259" s="1" t="s">
        <v>6017</v>
      </c>
      <c r="I259" s="2">
        <v>2024</v>
      </c>
      <c r="J259" s="1" t="s">
        <v>6018</v>
      </c>
      <c r="K259" s="1" t="s">
        <v>4770</v>
      </c>
      <c r="L259" s="1" t="s">
        <v>6019</v>
      </c>
      <c r="M259" s="1">
        <v>5</v>
      </c>
      <c r="N259" s="1">
        <v>1</v>
      </c>
      <c r="O259" s="1">
        <v>2</v>
      </c>
      <c r="P259" s="1">
        <v>4</v>
      </c>
      <c r="Q259" s="1" t="s">
        <v>198</v>
      </c>
      <c r="R259" s="1" t="s">
        <v>146</v>
      </c>
      <c r="S259" s="1" t="s">
        <v>199</v>
      </c>
      <c r="T259" s="1" t="s">
        <v>6020</v>
      </c>
      <c r="U259" s="1" t="s">
        <v>6021</v>
      </c>
      <c r="V259" s="1">
        <v>58</v>
      </c>
      <c r="W259" s="1">
        <v>3</v>
      </c>
      <c r="X259" s="1" t="s">
        <v>6022</v>
      </c>
      <c r="Y259" s="1" t="str">
        <f>HYPERLINK("http://dx.doi.org/10.1080/00305316.2023.2289968","http://dx.doi.org/10.1080/00305316.2023.2289968")</f>
        <v>http://dx.doi.org/10.1080/00305316.2023.2289968</v>
      </c>
      <c r="Z259" s="1">
        <v>12</v>
      </c>
      <c r="AA259" s="1" t="s">
        <v>2521</v>
      </c>
      <c r="AB259" s="1" t="s">
        <v>67</v>
      </c>
      <c r="AC259" s="1" t="s">
        <v>2521</v>
      </c>
      <c r="AD259" s="1" t="s">
        <v>48</v>
      </c>
      <c r="AE259" s="1" t="s">
        <v>48</v>
      </c>
    </row>
    <row r="260" spans="1:31" s="1" customFormat="1" ht="18.5" x14ac:dyDescent="0.45">
      <c r="A260" s="1" t="s">
        <v>6023</v>
      </c>
      <c r="B260" s="1" t="s">
        <v>6024</v>
      </c>
      <c r="C260" s="1" t="s">
        <v>6025</v>
      </c>
      <c r="D260" s="1" t="s">
        <v>3835</v>
      </c>
      <c r="E260" s="1" t="s">
        <v>53</v>
      </c>
      <c r="F260" s="1" t="s">
        <v>6026</v>
      </c>
      <c r="G260" s="1" t="s">
        <v>48</v>
      </c>
      <c r="H260" s="1" t="s">
        <v>6027</v>
      </c>
      <c r="I260" s="2">
        <v>2024</v>
      </c>
      <c r="J260" s="1" t="s">
        <v>6028</v>
      </c>
      <c r="K260" s="1" t="s">
        <v>4639</v>
      </c>
      <c r="L260" s="1" t="s">
        <v>6029</v>
      </c>
      <c r="M260" s="1">
        <v>90</v>
      </c>
      <c r="N260" s="1">
        <v>0</v>
      </c>
      <c r="O260" s="1">
        <v>2</v>
      </c>
      <c r="P260" s="1">
        <v>2</v>
      </c>
      <c r="Q260" s="1" t="s">
        <v>503</v>
      </c>
      <c r="R260" s="1" t="s">
        <v>504</v>
      </c>
      <c r="S260" s="1" t="s">
        <v>505</v>
      </c>
      <c r="T260" s="1" t="s">
        <v>3840</v>
      </c>
      <c r="U260" s="1" t="s">
        <v>3841</v>
      </c>
      <c r="V260" s="1">
        <v>27</v>
      </c>
      <c r="W260" s="1">
        <v>3</v>
      </c>
      <c r="X260" s="1" t="s">
        <v>6030</v>
      </c>
      <c r="Y260" s="1" t="str">
        <f>HYPERLINK("http://dx.doi.org/10.1007/s10123-023-00429-y","http://dx.doi.org/10.1007/s10123-023-00429-y")</f>
        <v>http://dx.doi.org/10.1007/s10123-023-00429-y</v>
      </c>
      <c r="Z260" s="1">
        <v>15</v>
      </c>
      <c r="AA260" s="1" t="s">
        <v>123</v>
      </c>
      <c r="AB260" s="1" t="s">
        <v>67</v>
      </c>
      <c r="AC260" s="1" t="s">
        <v>123</v>
      </c>
      <c r="AD260" s="1">
        <v>37702858</v>
      </c>
      <c r="AE260" s="1" t="s">
        <v>48</v>
      </c>
    </row>
    <row r="261" spans="1:31" s="1" customFormat="1" ht="18.5" x14ac:dyDescent="0.45">
      <c r="A261" s="1" t="s">
        <v>6075</v>
      </c>
      <c r="B261" s="1" t="s">
        <v>6076</v>
      </c>
      <c r="C261" s="1" t="s">
        <v>6077</v>
      </c>
      <c r="D261" s="1" t="s">
        <v>6078</v>
      </c>
      <c r="E261" s="1" t="s">
        <v>53</v>
      </c>
      <c r="F261" s="1" t="s">
        <v>6079</v>
      </c>
      <c r="G261" s="1" t="s">
        <v>6080</v>
      </c>
      <c r="H261" s="1" t="s">
        <v>6081</v>
      </c>
      <c r="I261" s="2">
        <v>2024</v>
      </c>
      <c r="J261" s="1" t="s">
        <v>6082</v>
      </c>
      <c r="K261" s="1" t="s">
        <v>6083</v>
      </c>
      <c r="L261" s="1" t="s">
        <v>4179</v>
      </c>
      <c r="M261" s="1">
        <v>39</v>
      </c>
      <c r="N261" s="1">
        <v>0</v>
      </c>
      <c r="O261" s="1">
        <v>2</v>
      </c>
      <c r="P261" s="1">
        <v>2</v>
      </c>
      <c r="Q261" s="1" t="s">
        <v>132</v>
      </c>
      <c r="R261" s="1" t="s">
        <v>133</v>
      </c>
      <c r="S261" s="1" t="s">
        <v>134</v>
      </c>
      <c r="T261" s="1" t="s">
        <v>6084</v>
      </c>
      <c r="U261" s="1" t="s">
        <v>6085</v>
      </c>
      <c r="V261" s="1">
        <v>29</v>
      </c>
      <c r="W261" s="1">
        <v>1</v>
      </c>
      <c r="X261" s="1" t="s">
        <v>6086</v>
      </c>
      <c r="Y261" s="1" t="str">
        <f>HYPERLINK("http://dx.doi.org/10.3390/mca29010003","http://dx.doi.org/10.3390/mca29010003")</f>
        <v>http://dx.doi.org/10.3390/mca29010003</v>
      </c>
      <c r="Z261" s="1">
        <v>33</v>
      </c>
      <c r="AA261" s="1" t="s">
        <v>3796</v>
      </c>
      <c r="AB261" s="1" t="s">
        <v>124</v>
      </c>
      <c r="AC261" s="1" t="s">
        <v>137</v>
      </c>
      <c r="AD261" s="1" t="s">
        <v>48</v>
      </c>
      <c r="AE261" s="1" t="s">
        <v>125</v>
      </c>
    </row>
    <row r="262" spans="1:31" s="1" customFormat="1" ht="18.5" x14ac:dyDescent="0.45">
      <c r="A262" s="1" t="s">
        <v>6087</v>
      </c>
      <c r="B262" s="1" t="s">
        <v>6088</v>
      </c>
      <c r="C262" s="1" t="s">
        <v>6089</v>
      </c>
      <c r="D262" s="1" t="s">
        <v>1812</v>
      </c>
      <c r="E262" s="1" t="s">
        <v>53</v>
      </c>
      <c r="F262" s="1" t="s">
        <v>6090</v>
      </c>
      <c r="G262" s="1" t="s">
        <v>6091</v>
      </c>
      <c r="H262" s="1" t="s">
        <v>6092</v>
      </c>
      <c r="I262" s="2">
        <v>2024</v>
      </c>
      <c r="J262" s="1" t="s">
        <v>6093</v>
      </c>
      <c r="K262" s="1" t="s">
        <v>6094</v>
      </c>
      <c r="L262" s="1" t="s">
        <v>6095</v>
      </c>
      <c r="M262" s="1">
        <v>47</v>
      </c>
      <c r="N262" s="1">
        <v>1</v>
      </c>
      <c r="O262" s="1">
        <v>1</v>
      </c>
      <c r="P262" s="1">
        <v>9</v>
      </c>
      <c r="Q262" s="1" t="s">
        <v>503</v>
      </c>
      <c r="R262" s="1" t="s">
        <v>504</v>
      </c>
      <c r="S262" s="1" t="s">
        <v>505</v>
      </c>
      <c r="T262" s="1" t="s">
        <v>1814</v>
      </c>
      <c r="U262" s="1" t="s">
        <v>1815</v>
      </c>
      <c r="V262" s="1">
        <v>28</v>
      </c>
      <c r="W262" s="1">
        <v>5</v>
      </c>
      <c r="X262" s="1" t="s">
        <v>6096</v>
      </c>
      <c r="Y262" s="1" t="str">
        <f>HYPERLINK("http://dx.doi.org/10.1007/s00500-023-09574-y","http://dx.doi.org/10.1007/s00500-023-09574-y")</f>
        <v>http://dx.doi.org/10.1007/s00500-023-09574-y</v>
      </c>
      <c r="Z262" s="1">
        <v>31</v>
      </c>
      <c r="AA262" s="1" t="s">
        <v>1746</v>
      </c>
      <c r="AB262" s="1" t="s">
        <v>67</v>
      </c>
      <c r="AC262" s="1" t="s">
        <v>292</v>
      </c>
      <c r="AD262" s="1" t="s">
        <v>48</v>
      </c>
      <c r="AE262" s="1" t="s">
        <v>48</v>
      </c>
    </row>
    <row r="263" spans="1:31" s="1" customFormat="1" ht="18.5" x14ac:dyDescent="0.45">
      <c r="A263" s="1" t="s">
        <v>6157</v>
      </c>
      <c r="B263" s="1" t="s">
        <v>6158</v>
      </c>
      <c r="C263" s="1" t="s">
        <v>6159</v>
      </c>
      <c r="D263" s="1" t="s">
        <v>1401</v>
      </c>
      <c r="E263" s="1" t="s">
        <v>53</v>
      </c>
      <c r="F263" s="1" t="s">
        <v>6160</v>
      </c>
      <c r="G263" s="1" t="s">
        <v>6161</v>
      </c>
      <c r="H263" s="1" t="s">
        <v>6162</v>
      </c>
      <c r="I263" s="2">
        <v>2024</v>
      </c>
      <c r="J263" s="1" t="s">
        <v>6163</v>
      </c>
      <c r="K263" s="1" t="s">
        <v>6164</v>
      </c>
      <c r="L263" s="1" t="s">
        <v>6165</v>
      </c>
      <c r="M263" s="1">
        <v>236</v>
      </c>
      <c r="N263" s="1">
        <v>14</v>
      </c>
      <c r="O263" s="1">
        <v>12</v>
      </c>
      <c r="P263" s="1">
        <v>14</v>
      </c>
      <c r="Q263" s="1" t="s">
        <v>1407</v>
      </c>
      <c r="R263" s="1" t="s">
        <v>632</v>
      </c>
      <c r="S263" s="1" t="s">
        <v>1408</v>
      </c>
      <c r="T263" s="1" t="s">
        <v>1409</v>
      </c>
      <c r="U263" s="1" t="s">
        <v>1410</v>
      </c>
      <c r="V263" s="1">
        <v>360</v>
      </c>
      <c r="W263" s="1" t="s">
        <v>48</v>
      </c>
      <c r="X263" s="1" t="s">
        <v>6166</v>
      </c>
      <c r="Y263" s="1" t="str">
        <f>HYPERLINK("http://dx.doi.org/10.1016/j.jenvman.2024.121136","http://dx.doi.org/10.1016/j.jenvman.2024.121136")</f>
        <v>http://dx.doi.org/10.1016/j.jenvman.2024.121136</v>
      </c>
      <c r="Z263" s="1">
        <v>19</v>
      </c>
      <c r="AA263" s="1" t="s">
        <v>438</v>
      </c>
      <c r="AB263" s="1" t="s">
        <v>67</v>
      </c>
      <c r="AC263" s="1" t="s">
        <v>439</v>
      </c>
      <c r="AD263" s="1">
        <v>38759555</v>
      </c>
      <c r="AE263" s="1" t="s">
        <v>48</v>
      </c>
    </row>
    <row r="264" spans="1:31" s="1" customFormat="1" ht="18.5" x14ac:dyDescent="0.45">
      <c r="A264" s="1" t="s">
        <v>6192</v>
      </c>
      <c r="B264" s="1" t="s">
        <v>6193</v>
      </c>
      <c r="C264" s="1" t="s">
        <v>6194</v>
      </c>
      <c r="D264" s="1" t="s">
        <v>5253</v>
      </c>
      <c r="E264" s="1" t="s">
        <v>53</v>
      </c>
      <c r="F264" s="1" t="s">
        <v>48</v>
      </c>
      <c r="G264" s="1" t="s">
        <v>6195</v>
      </c>
      <c r="H264" s="1" t="s">
        <v>6196</v>
      </c>
      <c r="I264" s="2">
        <v>2024</v>
      </c>
      <c r="J264" s="1" t="s">
        <v>6197</v>
      </c>
      <c r="K264" s="1" t="s">
        <v>3900</v>
      </c>
      <c r="L264" s="1" t="s">
        <v>6198</v>
      </c>
      <c r="M264" s="1">
        <v>42</v>
      </c>
      <c r="N264" s="1">
        <v>5</v>
      </c>
      <c r="O264" s="1">
        <v>0</v>
      </c>
      <c r="P264" s="1">
        <v>0</v>
      </c>
      <c r="Q264" s="1" t="s">
        <v>2989</v>
      </c>
      <c r="R264" s="1" t="s">
        <v>2990</v>
      </c>
      <c r="S264" s="1" t="s">
        <v>2991</v>
      </c>
      <c r="T264" s="1" t="s">
        <v>5256</v>
      </c>
      <c r="U264" s="1" t="s">
        <v>5257</v>
      </c>
      <c r="V264" s="1">
        <v>104</v>
      </c>
      <c r="W264" s="1">
        <v>11</v>
      </c>
      <c r="X264" s="1" t="s">
        <v>6199</v>
      </c>
      <c r="Y264" s="1" t="str">
        <f>HYPERLINK("http://dx.doi.org/10.1002/zamm.202300940","http://dx.doi.org/10.1002/zamm.202300940")</f>
        <v>http://dx.doi.org/10.1002/zamm.202300940</v>
      </c>
      <c r="Z264" s="1">
        <v>24</v>
      </c>
      <c r="AA264" s="1" t="s">
        <v>5259</v>
      </c>
      <c r="AB264" s="1" t="s">
        <v>67</v>
      </c>
      <c r="AC264" s="1" t="s">
        <v>4361</v>
      </c>
      <c r="AD264" s="1" t="s">
        <v>48</v>
      </c>
      <c r="AE264" s="1" t="s">
        <v>48</v>
      </c>
    </row>
    <row r="265" spans="1:31" s="1" customFormat="1" ht="18.5" x14ac:dyDescent="0.45">
      <c r="A265" s="1" t="s">
        <v>6200</v>
      </c>
      <c r="B265" s="1" t="s">
        <v>6201</v>
      </c>
      <c r="C265" s="1" t="s">
        <v>6202</v>
      </c>
      <c r="D265" s="1" t="s">
        <v>4625</v>
      </c>
      <c r="E265" s="1" t="s">
        <v>53</v>
      </c>
      <c r="F265" s="1" t="s">
        <v>6203</v>
      </c>
      <c r="G265" s="1" t="s">
        <v>6204</v>
      </c>
      <c r="H265" s="1" t="s">
        <v>6205</v>
      </c>
      <c r="I265" s="2">
        <v>2024</v>
      </c>
      <c r="J265" s="1" t="s">
        <v>6206</v>
      </c>
      <c r="K265" s="1" t="s">
        <v>6207</v>
      </c>
      <c r="L265" s="1" t="s">
        <v>3721</v>
      </c>
      <c r="M265" s="1">
        <v>63</v>
      </c>
      <c r="N265" s="1">
        <v>0</v>
      </c>
      <c r="O265" s="1">
        <v>1</v>
      </c>
      <c r="P265" s="1">
        <v>2</v>
      </c>
      <c r="Q265" s="1" t="s">
        <v>252</v>
      </c>
      <c r="R265" s="1" t="s">
        <v>253</v>
      </c>
      <c r="S265" s="1" t="s">
        <v>254</v>
      </c>
      <c r="T265" s="1" t="s">
        <v>4627</v>
      </c>
      <c r="U265" s="1" t="s">
        <v>4628</v>
      </c>
      <c r="V265" s="1">
        <v>46</v>
      </c>
      <c r="W265" s="1">
        <v>9</v>
      </c>
      <c r="X265" s="1" t="s">
        <v>6208</v>
      </c>
      <c r="Y265" s="1" t="str">
        <f>HYPERLINK("http://dx.doi.org/10.1007/s40430-024-05083-7","http://dx.doi.org/10.1007/s40430-024-05083-7")</f>
        <v>http://dx.doi.org/10.1007/s40430-024-05083-7</v>
      </c>
      <c r="Z265" s="1">
        <v>16</v>
      </c>
      <c r="AA265" s="1" t="s">
        <v>4630</v>
      </c>
      <c r="AB265" s="1" t="s">
        <v>67</v>
      </c>
      <c r="AC265" s="1" t="s">
        <v>1733</v>
      </c>
      <c r="AD265" s="1" t="s">
        <v>48</v>
      </c>
      <c r="AE265" s="1" t="s">
        <v>48</v>
      </c>
    </row>
    <row r="266" spans="1:31" s="1" customFormat="1" ht="18.5" x14ac:dyDescent="0.45">
      <c r="A266" s="1" t="s">
        <v>6209</v>
      </c>
      <c r="B266" s="1" t="s">
        <v>6210</v>
      </c>
      <c r="C266" s="1" t="s">
        <v>6211</v>
      </c>
      <c r="D266" s="1" t="s">
        <v>6212</v>
      </c>
      <c r="E266" s="1" t="s">
        <v>53</v>
      </c>
      <c r="F266" s="1" t="s">
        <v>6213</v>
      </c>
      <c r="G266" s="1" t="s">
        <v>6214</v>
      </c>
      <c r="H266" s="1" t="s">
        <v>6215</v>
      </c>
      <c r="I266" s="2">
        <v>2024</v>
      </c>
      <c r="J266" s="1" t="s">
        <v>6216</v>
      </c>
      <c r="K266" s="1" t="s">
        <v>6217</v>
      </c>
      <c r="L266" s="1" t="s">
        <v>6218</v>
      </c>
      <c r="M266" s="1">
        <v>65</v>
      </c>
      <c r="N266" s="1">
        <v>3</v>
      </c>
      <c r="O266" s="1">
        <v>3</v>
      </c>
      <c r="P266" s="1">
        <v>7</v>
      </c>
      <c r="Q266" s="1" t="s">
        <v>79</v>
      </c>
      <c r="R266" s="1" t="s">
        <v>80</v>
      </c>
      <c r="S266" s="1" t="s">
        <v>81</v>
      </c>
      <c r="T266" s="1" t="s">
        <v>6219</v>
      </c>
      <c r="U266" s="1" t="s">
        <v>6220</v>
      </c>
      <c r="V266" s="1">
        <v>57</v>
      </c>
      <c r="W266" s="1" t="s">
        <v>48</v>
      </c>
      <c r="X266" s="1" t="s">
        <v>6221</v>
      </c>
      <c r="Y266" s="1" t="str">
        <f>HYPERLINK("http://dx.doi.org/10.1016/j.fbio.2023.103257","http://dx.doi.org/10.1016/j.fbio.2023.103257")</f>
        <v>http://dx.doi.org/10.1016/j.fbio.2023.103257</v>
      </c>
      <c r="Z266" s="1">
        <v>12</v>
      </c>
      <c r="AA266" s="1" t="s">
        <v>2971</v>
      </c>
      <c r="AB266" s="1" t="s">
        <v>67</v>
      </c>
      <c r="AC266" s="1" t="s">
        <v>2971</v>
      </c>
      <c r="AD266" s="1" t="s">
        <v>48</v>
      </c>
      <c r="AE266" s="1" t="s">
        <v>48</v>
      </c>
    </row>
    <row r="267" spans="1:31" s="1" customFormat="1" ht="18.5" x14ac:dyDescent="0.45">
      <c r="A267" s="1" t="s">
        <v>6222</v>
      </c>
      <c r="B267" s="1" t="s">
        <v>6223</v>
      </c>
      <c r="C267" s="1" t="s">
        <v>6224</v>
      </c>
      <c r="D267" s="1" t="s">
        <v>2575</v>
      </c>
      <c r="E267" s="1" t="s">
        <v>53</v>
      </c>
      <c r="F267" s="1" t="s">
        <v>6225</v>
      </c>
      <c r="G267" s="1" t="s">
        <v>48</v>
      </c>
      <c r="H267" s="1" t="s">
        <v>6226</v>
      </c>
      <c r="I267" s="2">
        <v>2024</v>
      </c>
      <c r="J267" s="1" t="s">
        <v>6227</v>
      </c>
      <c r="K267" s="1" t="s">
        <v>6051</v>
      </c>
      <c r="L267" s="1" t="s">
        <v>3811</v>
      </c>
      <c r="M267" s="1">
        <v>70</v>
      </c>
      <c r="N267" s="1">
        <v>7</v>
      </c>
      <c r="O267" s="1">
        <v>1</v>
      </c>
      <c r="P267" s="1">
        <v>6</v>
      </c>
      <c r="Q267" s="1" t="s">
        <v>503</v>
      </c>
      <c r="R267" s="1" t="s">
        <v>542</v>
      </c>
      <c r="S267" s="1" t="s">
        <v>543</v>
      </c>
      <c r="T267" s="1" t="s">
        <v>2581</v>
      </c>
      <c r="U267" s="1" t="s">
        <v>2582</v>
      </c>
      <c r="V267" s="1">
        <v>83</v>
      </c>
      <c r="W267" s="1">
        <v>3</v>
      </c>
      <c r="X267" s="1" t="s">
        <v>6228</v>
      </c>
      <c r="Y267" s="1" t="str">
        <f>HYPERLINK("http://dx.doi.org/10.1007/s11042-023-15727-w","http://dx.doi.org/10.1007/s11042-023-15727-w")</f>
        <v>http://dx.doi.org/10.1007/s11042-023-15727-w</v>
      </c>
      <c r="Z267" s="1">
        <v>38</v>
      </c>
      <c r="AA267" s="1" t="s">
        <v>2586</v>
      </c>
      <c r="AB267" s="1" t="s">
        <v>67</v>
      </c>
      <c r="AC267" s="1" t="s">
        <v>389</v>
      </c>
      <c r="AD267" s="1" t="s">
        <v>48</v>
      </c>
      <c r="AE267" s="1" t="s">
        <v>48</v>
      </c>
    </row>
    <row r="268" spans="1:31" s="1" customFormat="1" ht="18.5" x14ac:dyDescent="0.45">
      <c r="A268" s="1" t="s">
        <v>6236</v>
      </c>
      <c r="B268" s="1" t="s">
        <v>6237</v>
      </c>
      <c r="C268" s="1" t="s">
        <v>6238</v>
      </c>
      <c r="D268" s="1" t="s">
        <v>6239</v>
      </c>
      <c r="E268" s="1" t="s">
        <v>53</v>
      </c>
      <c r="F268" s="1" t="s">
        <v>6240</v>
      </c>
      <c r="G268" s="1" t="s">
        <v>6241</v>
      </c>
      <c r="H268" s="1" t="s">
        <v>6242</v>
      </c>
      <c r="I268" s="2">
        <v>2024</v>
      </c>
      <c r="J268" s="1" t="s">
        <v>6243</v>
      </c>
      <c r="K268" s="1" t="s">
        <v>6244</v>
      </c>
      <c r="L268" s="1" t="s">
        <v>2862</v>
      </c>
      <c r="M268" s="1">
        <v>69</v>
      </c>
      <c r="N268" s="1">
        <v>0</v>
      </c>
      <c r="O268" s="1">
        <v>4</v>
      </c>
      <c r="P268" s="1">
        <v>4</v>
      </c>
      <c r="Q268" s="1" t="s">
        <v>60</v>
      </c>
      <c r="R268" s="1" t="s">
        <v>61</v>
      </c>
      <c r="S268" s="1" t="s">
        <v>62</v>
      </c>
      <c r="T268" s="1" t="s">
        <v>6245</v>
      </c>
      <c r="U268" s="1" t="s">
        <v>6246</v>
      </c>
      <c r="V268" s="1">
        <v>195</v>
      </c>
      <c r="W268" s="1" t="s">
        <v>48</v>
      </c>
      <c r="X268" s="1" t="s">
        <v>6247</v>
      </c>
      <c r="Y268" s="1" t="str">
        <f>HYPERLINK("http://dx.doi.org/10.1016/j.ibiod.2024.105907","http://dx.doi.org/10.1016/j.ibiod.2024.105907")</f>
        <v>http://dx.doi.org/10.1016/j.ibiod.2024.105907</v>
      </c>
      <c r="Z268" s="1">
        <v>15</v>
      </c>
      <c r="AA268" s="1" t="s">
        <v>6248</v>
      </c>
      <c r="AB268" s="1" t="s">
        <v>67</v>
      </c>
      <c r="AC268" s="1" t="s">
        <v>6249</v>
      </c>
      <c r="AD268" s="1" t="s">
        <v>48</v>
      </c>
      <c r="AE268" s="1" t="s">
        <v>48</v>
      </c>
    </row>
    <row r="269" spans="1:31" s="1" customFormat="1" ht="18.5" x14ac:dyDescent="0.45">
      <c r="A269" s="1" t="s">
        <v>6254</v>
      </c>
      <c r="B269" s="1" t="s">
        <v>6255</v>
      </c>
      <c r="C269" s="1" t="s">
        <v>6256</v>
      </c>
      <c r="D269" s="1" t="s">
        <v>369</v>
      </c>
      <c r="E269" s="1" t="s">
        <v>53</v>
      </c>
      <c r="F269" s="1" t="s">
        <v>6257</v>
      </c>
      <c r="G269" s="1" t="s">
        <v>6258</v>
      </c>
      <c r="H269" s="1" t="s">
        <v>6259</v>
      </c>
      <c r="I269" s="2">
        <v>2024</v>
      </c>
      <c r="J269" s="1" t="s">
        <v>6260</v>
      </c>
      <c r="K269" s="1" t="s">
        <v>6261</v>
      </c>
      <c r="L269" s="1" t="s">
        <v>6262</v>
      </c>
      <c r="M269" s="1">
        <v>31</v>
      </c>
      <c r="N269" s="1">
        <v>0</v>
      </c>
      <c r="O269" s="1">
        <v>0</v>
      </c>
      <c r="P269" s="1">
        <v>0</v>
      </c>
      <c r="Q269" s="1" t="s">
        <v>371</v>
      </c>
      <c r="R269" s="1" t="s">
        <v>372</v>
      </c>
      <c r="S269" s="1" t="s">
        <v>373</v>
      </c>
      <c r="T269" s="1" t="s">
        <v>374</v>
      </c>
      <c r="U269" s="1" t="s">
        <v>48</v>
      </c>
      <c r="V269" s="1">
        <v>14</v>
      </c>
      <c r="W269" s="1">
        <v>3</v>
      </c>
      <c r="X269" s="1" t="s">
        <v>48</v>
      </c>
      <c r="Y269" s="1" t="s">
        <v>48</v>
      </c>
      <c r="Z269" s="1">
        <v>10</v>
      </c>
      <c r="AA269" s="1" t="s">
        <v>260</v>
      </c>
      <c r="AB269" s="1" t="s">
        <v>124</v>
      </c>
      <c r="AC269" s="1" t="s">
        <v>137</v>
      </c>
      <c r="AD269" s="1" t="s">
        <v>48</v>
      </c>
      <c r="AE269" s="1" t="s">
        <v>48</v>
      </c>
    </row>
    <row r="270" spans="1:31" s="1" customFormat="1" ht="18.5" x14ac:dyDescent="0.45">
      <c r="A270" s="1" t="s">
        <v>6318</v>
      </c>
      <c r="B270" s="1" t="s">
        <v>6319</v>
      </c>
      <c r="C270" s="1" t="s">
        <v>6320</v>
      </c>
      <c r="D270" s="1" t="s">
        <v>1030</v>
      </c>
      <c r="E270" s="1" t="s">
        <v>111</v>
      </c>
      <c r="F270" s="1" t="s">
        <v>6321</v>
      </c>
      <c r="G270" s="1" t="s">
        <v>48</v>
      </c>
      <c r="H270" s="1" t="s">
        <v>6322</v>
      </c>
      <c r="I270" s="2">
        <v>2024</v>
      </c>
      <c r="J270" s="1" t="s">
        <v>6323</v>
      </c>
      <c r="K270" s="1" t="s">
        <v>6324</v>
      </c>
      <c r="L270" s="1" t="s">
        <v>284</v>
      </c>
      <c r="M270" s="1">
        <v>37</v>
      </c>
      <c r="N270" s="1">
        <v>0</v>
      </c>
      <c r="O270" s="1">
        <v>0</v>
      </c>
      <c r="P270" s="1">
        <v>0</v>
      </c>
      <c r="Q270" s="1" t="s">
        <v>252</v>
      </c>
      <c r="R270" s="1" t="s">
        <v>253</v>
      </c>
      <c r="S270" s="1" t="s">
        <v>254</v>
      </c>
      <c r="T270" s="1" t="s">
        <v>1036</v>
      </c>
      <c r="U270" s="1" t="s">
        <v>1037</v>
      </c>
      <c r="V270" s="1" t="s">
        <v>48</v>
      </c>
      <c r="W270" s="1" t="s">
        <v>48</v>
      </c>
      <c r="X270" s="1" t="s">
        <v>6325</v>
      </c>
      <c r="Y270" s="1" t="str">
        <f>HYPERLINK("http://dx.doi.org/10.1007/s12190-024-02319-6","http://dx.doi.org/10.1007/s12190-024-02319-6")</f>
        <v>http://dx.doi.org/10.1007/s12190-024-02319-6</v>
      </c>
      <c r="Z270" s="1">
        <v>36</v>
      </c>
      <c r="AA270" s="1" t="s">
        <v>1041</v>
      </c>
      <c r="AB270" s="1" t="s">
        <v>67</v>
      </c>
      <c r="AC270" s="1" t="s">
        <v>137</v>
      </c>
      <c r="AD270" s="1" t="s">
        <v>48</v>
      </c>
      <c r="AE270" s="1" t="s">
        <v>48</v>
      </c>
    </row>
    <row r="271" spans="1:31" s="1" customFormat="1" ht="18.5" x14ac:dyDescent="0.45">
      <c r="A271" s="1" t="s">
        <v>6326</v>
      </c>
      <c r="B271" s="1" t="s">
        <v>6327</v>
      </c>
      <c r="C271" s="1" t="s">
        <v>6328</v>
      </c>
      <c r="D271" s="1" t="s">
        <v>6329</v>
      </c>
      <c r="E271" s="1" t="s">
        <v>53</v>
      </c>
      <c r="F271" s="1" t="s">
        <v>48</v>
      </c>
      <c r="G271" s="1" t="s">
        <v>6330</v>
      </c>
      <c r="H271" s="1" t="s">
        <v>48</v>
      </c>
      <c r="I271" s="2">
        <v>2024</v>
      </c>
      <c r="J271" s="1" t="s">
        <v>6331</v>
      </c>
      <c r="K271" s="1" t="s">
        <v>6332</v>
      </c>
      <c r="L271" s="1" t="s">
        <v>6333</v>
      </c>
      <c r="M271" s="1">
        <v>63</v>
      </c>
      <c r="N271" s="1">
        <v>4</v>
      </c>
      <c r="O271" s="1">
        <v>0</v>
      </c>
      <c r="P271" s="1">
        <v>0</v>
      </c>
      <c r="Q271" s="1" t="s">
        <v>60</v>
      </c>
      <c r="R271" s="1" t="s">
        <v>61</v>
      </c>
      <c r="S271" s="1" t="s">
        <v>62</v>
      </c>
      <c r="T271" s="1" t="s">
        <v>6334</v>
      </c>
      <c r="U271" s="1" t="s">
        <v>6335</v>
      </c>
      <c r="V271" s="1">
        <v>251</v>
      </c>
      <c r="W271" s="1" t="s">
        <v>48</v>
      </c>
      <c r="X271" s="1" t="s">
        <v>6336</v>
      </c>
      <c r="Y271" s="1" t="str">
        <f>HYPERLINK("http://dx.doi.org/10.1016/j.ocecoaman.2024.107080","http://dx.doi.org/10.1016/j.ocecoaman.2024.107080")</f>
        <v>http://dx.doi.org/10.1016/j.ocecoaman.2024.107080</v>
      </c>
      <c r="Z271" s="1">
        <v>15</v>
      </c>
      <c r="AA271" s="1" t="s">
        <v>6337</v>
      </c>
      <c r="AB271" s="1" t="s">
        <v>67</v>
      </c>
      <c r="AC271" s="1" t="s">
        <v>6337</v>
      </c>
      <c r="AD271" s="1" t="s">
        <v>48</v>
      </c>
      <c r="AE271" s="1" t="s">
        <v>48</v>
      </c>
    </row>
    <row r="272" spans="1:31" s="1" customFormat="1" ht="18.5" x14ac:dyDescent="0.45">
      <c r="A272" s="1" t="s">
        <v>6382</v>
      </c>
      <c r="B272" s="1" t="s">
        <v>6383</v>
      </c>
      <c r="C272" s="1" t="s">
        <v>6384</v>
      </c>
      <c r="D272" s="1" t="s">
        <v>6385</v>
      </c>
      <c r="E272" s="1" t="s">
        <v>53</v>
      </c>
      <c r="F272" s="1" t="s">
        <v>6386</v>
      </c>
      <c r="G272" s="1" t="s">
        <v>6387</v>
      </c>
      <c r="H272" s="1" t="s">
        <v>6388</v>
      </c>
      <c r="I272" s="2">
        <v>2024</v>
      </c>
      <c r="J272" s="1" t="s">
        <v>6389</v>
      </c>
      <c r="K272" s="1" t="s">
        <v>6390</v>
      </c>
      <c r="L272" s="1" t="s">
        <v>6391</v>
      </c>
      <c r="M272" s="1">
        <v>80</v>
      </c>
      <c r="N272" s="1">
        <v>0</v>
      </c>
      <c r="O272" s="1">
        <v>5</v>
      </c>
      <c r="P272" s="1">
        <v>5</v>
      </c>
      <c r="Q272" s="1" t="s">
        <v>503</v>
      </c>
      <c r="R272" s="1" t="s">
        <v>504</v>
      </c>
      <c r="S272" s="1" t="s">
        <v>505</v>
      </c>
      <c r="T272" s="1" t="s">
        <v>6392</v>
      </c>
      <c r="U272" s="1" t="s">
        <v>6393</v>
      </c>
      <c r="V272" s="1">
        <v>38</v>
      </c>
      <c r="W272" s="1">
        <v>12</v>
      </c>
      <c r="X272" s="1" t="s">
        <v>6394</v>
      </c>
      <c r="Y272" s="1" t="str">
        <f>HYPERLINK("http://dx.doi.org/10.1007/s00477-024-02830-z","http://dx.doi.org/10.1007/s00477-024-02830-z")</f>
        <v>http://dx.doi.org/10.1007/s00477-024-02830-z</v>
      </c>
      <c r="Z272" s="1">
        <v>34</v>
      </c>
      <c r="AA272" s="1" t="s">
        <v>6395</v>
      </c>
      <c r="AB272" s="1" t="s">
        <v>67</v>
      </c>
      <c r="AC272" s="1" t="s">
        <v>6396</v>
      </c>
      <c r="AD272" s="1" t="s">
        <v>48</v>
      </c>
      <c r="AE272" s="1" t="s">
        <v>48</v>
      </c>
    </row>
    <row r="273" spans="1:31" s="1" customFormat="1" ht="18.5" x14ac:dyDescent="0.45">
      <c r="A273" s="1" t="s">
        <v>6397</v>
      </c>
      <c r="B273" s="1" t="s">
        <v>6398</v>
      </c>
      <c r="C273" s="1" t="s">
        <v>6399</v>
      </c>
      <c r="D273" s="1" t="s">
        <v>1105</v>
      </c>
      <c r="E273" s="1" t="s">
        <v>111</v>
      </c>
      <c r="F273" s="1" t="s">
        <v>48</v>
      </c>
      <c r="G273" s="1" t="s">
        <v>6400</v>
      </c>
      <c r="H273" s="1" t="s">
        <v>6401</v>
      </c>
      <c r="I273" s="2">
        <v>2024</v>
      </c>
      <c r="J273" s="1" t="s">
        <v>6402</v>
      </c>
      <c r="K273" s="1" t="s">
        <v>6403</v>
      </c>
      <c r="L273" s="1" t="s">
        <v>6404</v>
      </c>
      <c r="M273" s="1">
        <v>46</v>
      </c>
      <c r="N273" s="1">
        <v>0</v>
      </c>
      <c r="O273" s="1">
        <v>1</v>
      </c>
      <c r="P273" s="1">
        <v>3</v>
      </c>
      <c r="Q273" s="1" t="s">
        <v>285</v>
      </c>
      <c r="R273" s="1" t="s">
        <v>286</v>
      </c>
      <c r="S273" s="1" t="s">
        <v>287</v>
      </c>
      <c r="T273" s="1" t="s">
        <v>1109</v>
      </c>
      <c r="U273" s="1" t="s">
        <v>1110</v>
      </c>
      <c r="V273" s="1" t="s">
        <v>48</v>
      </c>
      <c r="W273" s="1" t="s">
        <v>48</v>
      </c>
      <c r="X273" s="1" t="s">
        <v>6405</v>
      </c>
      <c r="Y273" s="1" t="str">
        <f>HYPERLINK("http://dx.doi.org/10.1007/s00704-024-04947-1","http://dx.doi.org/10.1007/s00704-024-04947-1")</f>
        <v>http://dx.doi.org/10.1007/s00704-024-04947-1</v>
      </c>
      <c r="Z273" s="1">
        <v>26</v>
      </c>
      <c r="AA273" s="1" t="s">
        <v>1112</v>
      </c>
      <c r="AB273" s="1" t="s">
        <v>67</v>
      </c>
      <c r="AC273" s="1" t="s">
        <v>1112</v>
      </c>
      <c r="AD273" s="1" t="s">
        <v>48</v>
      </c>
      <c r="AE273" s="1" t="s">
        <v>48</v>
      </c>
    </row>
    <row r="274" spans="1:31" s="1" customFormat="1" ht="18.5" x14ac:dyDescent="0.45">
      <c r="A274" s="1" t="s">
        <v>6406</v>
      </c>
      <c r="B274" s="1" t="s">
        <v>6407</v>
      </c>
      <c r="C274" s="1" t="s">
        <v>6408</v>
      </c>
      <c r="D274" s="1" t="s">
        <v>4121</v>
      </c>
      <c r="E274" s="1" t="s">
        <v>111</v>
      </c>
      <c r="F274" s="1" t="s">
        <v>6409</v>
      </c>
      <c r="G274" s="1" t="s">
        <v>6410</v>
      </c>
      <c r="H274" s="1" t="s">
        <v>6411</v>
      </c>
      <c r="I274" s="2">
        <v>2024</v>
      </c>
      <c r="J274" s="1" t="s">
        <v>6412</v>
      </c>
      <c r="K274" s="1" t="s">
        <v>6413</v>
      </c>
      <c r="L274" s="1" t="s">
        <v>6414</v>
      </c>
      <c r="M274" s="1">
        <v>47</v>
      </c>
      <c r="N274" s="1">
        <v>0</v>
      </c>
      <c r="O274" s="1">
        <v>0</v>
      </c>
      <c r="P274" s="1">
        <v>0</v>
      </c>
      <c r="Q274" s="1" t="s">
        <v>748</v>
      </c>
      <c r="R274" s="1" t="s">
        <v>749</v>
      </c>
      <c r="S274" s="1" t="s">
        <v>750</v>
      </c>
      <c r="T274" s="1" t="s">
        <v>4127</v>
      </c>
      <c r="U274" s="1" t="s">
        <v>4128</v>
      </c>
      <c r="V274" s="1" t="s">
        <v>48</v>
      </c>
      <c r="W274" s="1" t="s">
        <v>48</v>
      </c>
      <c r="X274" s="1" t="s">
        <v>6415</v>
      </c>
      <c r="Y274" s="1" t="str">
        <f>HYPERLINK("http://dx.doi.org/10.1142/S1793005725500140","http://dx.doi.org/10.1142/S1793005725500140")</f>
        <v>http://dx.doi.org/10.1142/S1793005725500140</v>
      </c>
      <c r="Z274" s="1">
        <v>35</v>
      </c>
      <c r="AA274" s="1" t="s">
        <v>3796</v>
      </c>
      <c r="AB274" s="1" t="s">
        <v>124</v>
      </c>
      <c r="AC274" s="1" t="s">
        <v>137</v>
      </c>
      <c r="AD274" s="1" t="s">
        <v>48</v>
      </c>
      <c r="AE274" s="1" t="s">
        <v>48</v>
      </c>
    </row>
    <row r="275" spans="1:31" s="1" customFormat="1" ht="18.5" x14ac:dyDescent="0.45">
      <c r="A275" s="1" t="s">
        <v>6443</v>
      </c>
      <c r="B275" s="1" t="s">
        <v>6444</v>
      </c>
      <c r="C275" s="1" t="s">
        <v>6445</v>
      </c>
      <c r="D275" s="1" t="s">
        <v>5695</v>
      </c>
      <c r="E275" s="1" t="s">
        <v>111</v>
      </c>
      <c r="F275" s="1" t="s">
        <v>6446</v>
      </c>
      <c r="G275" s="1" t="s">
        <v>6447</v>
      </c>
      <c r="H275" s="1" t="s">
        <v>6448</v>
      </c>
      <c r="I275" s="2">
        <v>2024</v>
      </c>
      <c r="J275" s="1" t="s">
        <v>6449</v>
      </c>
      <c r="K275" s="1" t="s">
        <v>6450</v>
      </c>
      <c r="L275" s="1" t="s">
        <v>688</v>
      </c>
      <c r="M275" s="1">
        <v>66</v>
      </c>
      <c r="N275" s="1">
        <v>1</v>
      </c>
      <c r="O275" s="1">
        <v>1</v>
      </c>
      <c r="P275" s="1">
        <v>1</v>
      </c>
      <c r="Q275" s="1" t="s">
        <v>313</v>
      </c>
      <c r="R275" s="1" t="s">
        <v>314</v>
      </c>
      <c r="S275" s="1" t="s">
        <v>315</v>
      </c>
      <c r="T275" s="1" t="s">
        <v>5699</v>
      </c>
      <c r="U275" s="1" t="s">
        <v>5700</v>
      </c>
      <c r="V275" s="1" t="s">
        <v>48</v>
      </c>
      <c r="W275" s="1" t="s">
        <v>48</v>
      </c>
      <c r="X275" s="1" t="s">
        <v>6451</v>
      </c>
      <c r="Y275" s="1" t="str">
        <f>HYPERLINK("http://dx.doi.org/10.3934/jdg.2024028","http://dx.doi.org/10.3934/jdg.2024028")</f>
        <v>http://dx.doi.org/10.3934/jdg.2024028</v>
      </c>
      <c r="Z275" s="1">
        <v>28</v>
      </c>
      <c r="AA275" s="1" t="s">
        <v>3796</v>
      </c>
      <c r="AB275" s="1" t="s">
        <v>124</v>
      </c>
      <c r="AC275" s="1" t="s">
        <v>137</v>
      </c>
      <c r="AD275" s="1" t="s">
        <v>48</v>
      </c>
      <c r="AE275" s="1" t="s">
        <v>125</v>
      </c>
    </row>
    <row r="276" spans="1:31" s="1" customFormat="1" ht="18.5" x14ac:dyDescent="0.45">
      <c r="A276" s="1" t="s">
        <v>6452</v>
      </c>
      <c r="B276" s="1" t="s">
        <v>6453</v>
      </c>
      <c r="C276" s="1" t="s">
        <v>6454</v>
      </c>
      <c r="D276" s="1" t="s">
        <v>1105</v>
      </c>
      <c r="E276" s="1" t="s">
        <v>53</v>
      </c>
      <c r="F276" s="1" t="s">
        <v>48</v>
      </c>
      <c r="G276" s="1" t="s">
        <v>6455</v>
      </c>
      <c r="H276" s="1" t="s">
        <v>6456</v>
      </c>
      <c r="I276" s="2">
        <v>2024</v>
      </c>
      <c r="J276" s="1" t="s">
        <v>6457</v>
      </c>
      <c r="K276" s="1" t="s">
        <v>6458</v>
      </c>
      <c r="L276" s="1" t="s">
        <v>6459</v>
      </c>
      <c r="M276" s="1">
        <v>80</v>
      </c>
      <c r="N276" s="1">
        <v>2</v>
      </c>
      <c r="O276" s="1">
        <v>2</v>
      </c>
      <c r="P276" s="1">
        <v>18</v>
      </c>
      <c r="Q276" s="1" t="s">
        <v>285</v>
      </c>
      <c r="R276" s="1" t="s">
        <v>286</v>
      </c>
      <c r="S276" s="1" t="s">
        <v>287</v>
      </c>
      <c r="T276" s="1" t="s">
        <v>1109</v>
      </c>
      <c r="U276" s="1" t="s">
        <v>1110</v>
      </c>
      <c r="V276" s="1">
        <v>155</v>
      </c>
      <c r="W276" s="1">
        <v>5</v>
      </c>
      <c r="X276" s="1" t="s">
        <v>6460</v>
      </c>
      <c r="Y276" s="1" t="str">
        <f>HYPERLINK("http://dx.doi.org/10.1007/s00704-024-04874-1","http://dx.doi.org/10.1007/s00704-024-04874-1")</f>
        <v>http://dx.doi.org/10.1007/s00704-024-04874-1</v>
      </c>
      <c r="Z276" s="1">
        <v>22</v>
      </c>
      <c r="AA276" s="1" t="s">
        <v>1112</v>
      </c>
      <c r="AB276" s="1" t="s">
        <v>67</v>
      </c>
      <c r="AC276" s="1" t="s">
        <v>1112</v>
      </c>
      <c r="AD276" s="1" t="s">
        <v>48</v>
      </c>
      <c r="AE276" s="1" t="s">
        <v>48</v>
      </c>
    </row>
    <row r="277" spans="1:31" s="1" customFormat="1" ht="18.5" x14ac:dyDescent="0.45">
      <c r="A277" s="1" t="s">
        <v>6468</v>
      </c>
      <c r="B277" s="1" t="s">
        <v>6469</v>
      </c>
      <c r="C277" s="1" t="s">
        <v>6470</v>
      </c>
      <c r="D277" s="1" t="s">
        <v>6471</v>
      </c>
      <c r="E277" s="1" t="s">
        <v>53</v>
      </c>
      <c r="F277" s="1" t="s">
        <v>6472</v>
      </c>
      <c r="G277" s="1" t="s">
        <v>6473</v>
      </c>
      <c r="H277" s="1" t="s">
        <v>6474</v>
      </c>
      <c r="I277" s="2">
        <v>2024</v>
      </c>
      <c r="J277" s="1" t="s">
        <v>6475</v>
      </c>
      <c r="K277" s="1" t="s">
        <v>6476</v>
      </c>
      <c r="L277" s="1" t="s">
        <v>6477</v>
      </c>
      <c r="M277" s="1">
        <v>58</v>
      </c>
      <c r="N277" s="1">
        <v>4</v>
      </c>
      <c r="O277" s="1">
        <v>9</v>
      </c>
      <c r="P277" s="1">
        <v>20</v>
      </c>
      <c r="Q277" s="1" t="s">
        <v>79</v>
      </c>
      <c r="R277" s="1" t="s">
        <v>80</v>
      </c>
      <c r="S277" s="1" t="s">
        <v>81</v>
      </c>
      <c r="T277" s="1" t="s">
        <v>48</v>
      </c>
      <c r="U277" s="1" t="s">
        <v>6478</v>
      </c>
      <c r="V277" s="1">
        <v>38</v>
      </c>
      <c r="W277" s="1" t="s">
        <v>48</v>
      </c>
      <c r="X277" s="1" t="s">
        <v>6479</v>
      </c>
      <c r="Y277" s="1" t="str">
        <f>HYPERLINK("http://dx.doi.org/10.1016/j.mtcomm.2024.108063","http://dx.doi.org/10.1016/j.mtcomm.2024.108063")</f>
        <v>http://dx.doi.org/10.1016/j.mtcomm.2024.108063</v>
      </c>
      <c r="Z277" s="1">
        <v>11</v>
      </c>
      <c r="AA277" s="1" t="s">
        <v>1876</v>
      </c>
      <c r="AB277" s="1" t="s">
        <v>67</v>
      </c>
      <c r="AC277" s="1" t="s">
        <v>1877</v>
      </c>
      <c r="AD277" s="1" t="s">
        <v>48</v>
      </c>
      <c r="AE277" s="1" t="s">
        <v>48</v>
      </c>
    </row>
    <row r="278" spans="1:31" s="1" customFormat="1" ht="18.5" x14ac:dyDescent="0.45">
      <c r="A278" s="1" t="s">
        <v>6492</v>
      </c>
      <c r="B278" s="1" t="s">
        <v>6493</v>
      </c>
      <c r="C278" s="1" t="s">
        <v>6494</v>
      </c>
      <c r="D278" s="1" t="s">
        <v>6495</v>
      </c>
      <c r="E278" s="1" t="s">
        <v>53</v>
      </c>
      <c r="F278" s="1" t="s">
        <v>6496</v>
      </c>
      <c r="G278" s="1" t="s">
        <v>6497</v>
      </c>
      <c r="H278" s="1" t="s">
        <v>6498</v>
      </c>
      <c r="I278" s="2">
        <v>2024</v>
      </c>
      <c r="J278" s="1" t="s">
        <v>6499</v>
      </c>
      <c r="K278" s="1" t="s">
        <v>6500</v>
      </c>
      <c r="L278" s="1" t="s">
        <v>6501</v>
      </c>
      <c r="M278" s="1">
        <v>42</v>
      </c>
      <c r="N278" s="1">
        <v>3</v>
      </c>
      <c r="O278" s="1">
        <v>3</v>
      </c>
      <c r="P278" s="1">
        <v>4</v>
      </c>
      <c r="Q278" s="1" t="s">
        <v>145</v>
      </c>
      <c r="R278" s="1" t="s">
        <v>146</v>
      </c>
      <c r="S278" s="1" t="s">
        <v>147</v>
      </c>
      <c r="T278" s="1" t="s">
        <v>6502</v>
      </c>
      <c r="U278" s="1" t="s">
        <v>6503</v>
      </c>
      <c r="V278" s="1">
        <v>76</v>
      </c>
      <c r="W278" s="1">
        <v>3</v>
      </c>
      <c r="X278" s="1" t="s">
        <v>6504</v>
      </c>
      <c r="Y278" s="1" t="str">
        <f>HYPERLINK("http://dx.doi.org/10.1080/00330124.2023.2287167","http://dx.doi.org/10.1080/00330124.2023.2287167")</f>
        <v>http://dx.doi.org/10.1080/00330124.2023.2287167</v>
      </c>
      <c r="Z278" s="1">
        <v>15</v>
      </c>
      <c r="AA278" s="1" t="s">
        <v>493</v>
      </c>
      <c r="AB278" s="1" t="s">
        <v>106</v>
      </c>
      <c r="AC278" s="1" t="s">
        <v>493</v>
      </c>
      <c r="AD278" s="1" t="s">
        <v>48</v>
      </c>
      <c r="AE278" s="1" t="s">
        <v>48</v>
      </c>
    </row>
    <row r="279" spans="1:31" s="1" customFormat="1" ht="18.5" x14ac:dyDescent="0.45">
      <c r="A279" s="1" t="s">
        <v>6515</v>
      </c>
      <c r="B279" s="1" t="s">
        <v>6516</v>
      </c>
      <c r="C279" s="1" t="s">
        <v>6517</v>
      </c>
      <c r="D279" s="1" t="s">
        <v>6518</v>
      </c>
      <c r="E279" s="1" t="s">
        <v>53</v>
      </c>
      <c r="F279" s="1" t="s">
        <v>6519</v>
      </c>
      <c r="G279" s="1" t="s">
        <v>6520</v>
      </c>
      <c r="H279" s="1" t="s">
        <v>6521</v>
      </c>
      <c r="I279" s="2">
        <v>2024</v>
      </c>
      <c r="J279" s="1" t="s">
        <v>6522</v>
      </c>
      <c r="K279" s="1" t="s">
        <v>6523</v>
      </c>
      <c r="L279" s="1" t="s">
        <v>6524</v>
      </c>
      <c r="M279" s="1">
        <v>86</v>
      </c>
      <c r="N279" s="1">
        <v>1</v>
      </c>
      <c r="O279" s="1">
        <v>2</v>
      </c>
      <c r="P279" s="1">
        <v>7</v>
      </c>
      <c r="Q279" s="1" t="s">
        <v>198</v>
      </c>
      <c r="R279" s="1" t="s">
        <v>146</v>
      </c>
      <c r="S279" s="1" t="s">
        <v>199</v>
      </c>
      <c r="T279" s="1" t="s">
        <v>6525</v>
      </c>
      <c r="U279" s="1" t="s">
        <v>6526</v>
      </c>
      <c r="V279" s="1">
        <v>27</v>
      </c>
      <c r="W279" s="1">
        <v>3</v>
      </c>
      <c r="X279" s="1" t="s">
        <v>6527</v>
      </c>
      <c r="Y279" s="1" t="str">
        <f>HYPERLINK("http://dx.doi.org/10.1080/1028415X.2023.2187510","http://dx.doi.org/10.1080/1028415X.2023.2187510")</f>
        <v>http://dx.doi.org/10.1080/1028415X.2023.2187510</v>
      </c>
      <c r="Z279" s="1">
        <v>18</v>
      </c>
      <c r="AA279" s="1" t="s">
        <v>6528</v>
      </c>
      <c r="AB279" s="1" t="s">
        <v>67</v>
      </c>
      <c r="AC279" s="1" t="s">
        <v>6529</v>
      </c>
      <c r="AD279" s="1">
        <v>36947578</v>
      </c>
      <c r="AE279" s="1" t="s">
        <v>48</v>
      </c>
    </row>
    <row r="280" spans="1:31" s="1" customFormat="1" ht="18.5" x14ac:dyDescent="0.45">
      <c r="A280" s="1" t="s">
        <v>6536</v>
      </c>
      <c r="B280" s="1" t="s">
        <v>6537</v>
      </c>
      <c r="C280" s="1" t="s">
        <v>6538</v>
      </c>
      <c r="D280" s="1" t="s">
        <v>571</v>
      </c>
      <c r="E280" s="1" t="s">
        <v>53</v>
      </c>
      <c r="F280" s="1" t="s">
        <v>6539</v>
      </c>
      <c r="G280" s="1" t="s">
        <v>6540</v>
      </c>
      <c r="H280" s="1" t="s">
        <v>6541</v>
      </c>
      <c r="I280" s="2">
        <v>2024</v>
      </c>
      <c r="J280" s="1" t="s">
        <v>6542</v>
      </c>
      <c r="K280" s="1" t="s">
        <v>6543</v>
      </c>
      <c r="L280" s="1" t="s">
        <v>6544</v>
      </c>
      <c r="M280" s="1">
        <v>40</v>
      </c>
      <c r="N280" s="1">
        <v>0</v>
      </c>
      <c r="O280" s="1">
        <v>2</v>
      </c>
      <c r="P280" s="1">
        <v>2</v>
      </c>
      <c r="Q280" s="1" t="s">
        <v>572</v>
      </c>
      <c r="R280" s="1" t="s">
        <v>573</v>
      </c>
      <c r="S280" s="1" t="s">
        <v>574</v>
      </c>
      <c r="T280" s="1" t="s">
        <v>575</v>
      </c>
      <c r="U280" s="1" t="s">
        <v>576</v>
      </c>
      <c r="V280" s="1">
        <v>58</v>
      </c>
      <c r="W280" s="1">
        <v>5</v>
      </c>
      <c r="X280" s="1" t="s">
        <v>6545</v>
      </c>
      <c r="Y280" s="1" t="str">
        <f>HYPERLINK("http://dx.doi.org/10.1051/ro/2024131","http://dx.doi.org/10.1051/ro/2024131")</f>
        <v>http://dx.doi.org/10.1051/ro/2024131</v>
      </c>
      <c r="Z280" s="1">
        <v>27</v>
      </c>
      <c r="AA280" s="1" t="s">
        <v>580</v>
      </c>
      <c r="AB280" s="1" t="s">
        <v>67</v>
      </c>
      <c r="AC280" s="1" t="s">
        <v>580</v>
      </c>
      <c r="AD280" s="1" t="s">
        <v>48</v>
      </c>
      <c r="AE280" s="1" t="s">
        <v>1696</v>
      </c>
    </row>
    <row r="281" spans="1:31" s="1" customFormat="1" ht="18.5" x14ac:dyDescent="0.45">
      <c r="A281" s="1" t="s">
        <v>6555</v>
      </c>
      <c r="B281" s="1" t="s">
        <v>6556</v>
      </c>
      <c r="C281" s="1" t="s">
        <v>6557</v>
      </c>
      <c r="D281" s="1" t="s">
        <v>5916</v>
      </c>
      <c r="E281" s="1" t="s">
        <v>111</v>
      </c>
      <c r="F281" s="1" t="s">
        <v>6558</v>
      </c>
      <c r="G281" s="1" t="s">
        <v>6559</v>
      </c>
      <c r="H281" s="1" t="s">
        <v>6560</v>
      </c>
      <c r="I281" s="2">
        <v>2024</v>
      </c>
      <c r="J281" s="1" t="s">
        <v>6561</v>
      </c>
      <c r="K281" s="1" t="s">
        <v>6562</v>
      </c>
      <c r="L281" s="1" t="s">
        <v>6563</v>
      </c>
      <c r="M281" s="1">
        <v>46</v>
      </c>
      <c r="N281" s="1">
        <v>0</v>
      </c>
      <c r="O281" s="1">
        <v>16</v>
      </c>
      <c r="P281" s="1">
        <v>17</v>
      </c>
      <c r="Q281" s="1" t="s">
        <v>530</v>
      </c>
      <c r="R281" s="1" t="s">
        <v>531</v>
      </c>
      <c r="S281" s="1" t="s">
        <v>532</v>
      </c>
      <c r="T281" s="1" t="s">
        <v>5920</v>
      </c>
      <c r="U281" s="1" t="s">
        <v>5921</v>
      </c>
      <c r="V281" s="1" t="s">
        <v>48</v>
      </c>
      <c r="W281" s="1" t="s">
        <v>48</v>
      </c>
      <c r="X281" s="1" t="s">
        <v>6564</v>
      </c>
      <c r="Y281" s="1" t="str">
        <f>HYPERLINK("http://dx.doi.org/10.1108/K-02-2024-0309","http://dx.doi.org/10.1108/K-02-2024-0309")</f>
        <v>http://dx.doi.org/10.1108/K-02-2024-0309</v>
      </c>
      <c r="Z281" s="1">
        <v>17</v>
      </c>
      <c r="AA281" s="1" t="s">
        <v>5923</v>
      </c>
      <c r="AB281" s="1" t="s">
        <v>67</v>
      </c>
      <c r="AC281" s="1" t="s">
        <v>292</v>
      </c>
      <c r="AD281" s="1" t="s">
        <v>48</v>
      </c>
      <c r="AE281" s="1" t="s">
        <v>48</v>
      </c>
    </row>
    <row r="282" spans="1:31" s="1" customFormat="1" ht="18.5" x14ac:dyDescent="0.45">
      <c r="A282" s="1" t="s">
        <v>6595</v>
      </c>
      <c r="B282" s="1" t="s">
        <v>6596</v>
      </c>
      <c r="C282" s="1" t="s">
        <v>6597</v>
      </c>
      <c r="D282" s="1" t="s">
        <v>1520</v>
      </c>
      <c r="E282" s="1" t="s">
        <v>53</v>
      </c>
      <c r="F282" s="1" t="s">
        <v>6598</v>
      </c>
      <c r="G282" s="1" t="s">
        <v>6599</v>
      </c>
      <c r="H282" s="1" t="s">
        <v>6600</v>
      </c>
      <c r="I282" s="2">
        <v>2024</v>
      </c>
      <c r="J282" s="1" t="s">
        <v>6601</v>
      </c>
      <c r="K282" s="1" t="s">
        <v>6602</v>
      </c>
      <c r="L282" s="1" t="s">
        <v>6603</v>
      </c>
      <c r="M282" s="1">
        <v>50</v>
      </c>
      <c r="N282" s="1">
        <v>2</v>
      </c>
      <c r="O282" s="1">
        <v>2</v>
      </c>
      <c r="P282" s="1">
        <v>2</v>
      </c>
      <c r="Q282" s="1" t="s">
        <v>1523</v>
      </c>
      <c r="R282" s="1" t="s">
        <v>632</v>
      </c>
      <c r="S282" s="1" t="s">
        <v>1524</v>
      </c>
      <c r="T282" s="1" t="s">
        <v>1525</v>
      </c>
      <c r="U282" s="1" t="s">
        <v>1526</v>
      </c>
      <c r="V282" s="1">
        <v>4</v>
      </c>
      <c r="W282" s="1">
        <v>4</v>
      </c>
      <c r="X282" s="1" t="s">
        <v>6604</v>
      </c>
      <c r="Y282" s="1" t="str">
        <f>HYPERLINK("http://dx.doi.org/10.1007/s43393-024-00271-x","http://dx.doi.org/10.1007/s43393-024-00271-x")</f>
        <v>http://dx.doi.org/10.1007/s43393-024-00271-x</v>
      </c>
      <c r="Z282" s="1">
        <v>15</v>
      </c>
      <c r="AA282" s="1" t="s">
        <v>1528</v>
      </c>
      <c r="AB282" s="1" t="s">
        <v>124</v>
      </c>
      <c r="AC282" s="1" t="s">
        <v>1528</v>
      </c>
      <c r="AD282" s="1" t="s">
        <v>48</v>
      </c>
      <c r="AE282" s="1" t="s">
        <v>48</v>
      </c>
    </row>
    <row r="283" spans="1:31" s="1" customFormat="1" ht="18.5" x14ac:dyDescent="0.45">
      <c r="A283" s="1" t="s">
        <v>6623</v>
      </c>
      <c r="B283" s="1" t="s">
        <v>6624</v>
      </c>
      <c r="C283" s="1" t="s">
        <v>6625</v>
      </c>
      <c r="D283" s="1" t="s">
        <v>404</v>
      </c>
      <c r="E283" s="1" t="s">
        <v>53</v>
      </c>
      <c r="F283" s="1" t="s">
        <v>6626</v>
      </c>
      <c r="G283" s="1" t="s">
        <v>6627</v>
      </c>
      <c r="H283" s="1" t="s">
        <v>6628</v>
      </c>
      <c r="I283" s="2">
        <v>2024</v>
      </c>
      <c r="J283" s="1" t="s">
        <v>6629</v>
      </c>
      <c r="K283" s="1" t="s">
        <v>6630</v>
      </c>
      <c r="L283" s="1" t="s">
        <v>6631</v>
      </c>
      <c r="M283" s="1">
        <v>60</v>
      </c>
      <c r="N283" s="1">
        <v>0</v>
      </c>
      <c r="O283" s="1">
        <v>2</v>
      </c>
      <c r="P283" s="1">
        <v>2</v>
      </c>
      <c r="Q283" s="1" t="s">
        <v>410</v>
      </c>
      <c r="R283" s="1" t="s">
        <v>411</v>
      </c>
      <c r="S283" s="1" t="s">
        <v>412</v>
      </c>
      <c r="T283" s="1" t="s">
        <v>413</v>
      </c>
      <c r="U283" s="1" t="s">
        <v>48</v>
      </c>
      <c r="V283" s="1">
        <v>14</v>
      </c>
      <c r="W283" s="1">
        <v>1</v>
      </c>
      <c r="X283" s="1" t="s">
        <v>6632</v>
      </c>
      <c r="Y283" s="1" t="str">
        <f>HYPERLINK("http://dx.doi.org/10.1038/s41598-024-73165-6","http://dx.doi.org/10.1038/s41598-024-73165-6")</f>
        <v>http://dx.doi.org/10.1038/s41598-024-73165-6</v>
      </c>
      <c r="Z283" s="1">
        <v>16</v>
      </c>
      <c r="AA283" s="1" t="s">
        <v>335</v>
      </c>
      <c r="AB283" s="1" t="s">
        <v>67</v>
      </c>
      <c r="AC283" s="1" t="s">
        <v>336</v>
      </c>
      <c r="AD283" s="1">
        <v>39730374</v>
      </c>
      <c r="AE283" s="1" t="s">
        <v>125</v>
      </c>
    </row>
    <row r="284" spans="1:31" s="1" customFormat="1" ht="18.5" x14ac:dyDescent="0.45">
      <c r="A284" s="1" t="s">
        <v>6639</v>
      </c>
      <c r="B284" s="1" t="s">
        <v>6640</v>
      </c>
      <c r="C284" s="1" t="s">
        <v>6641</v>
      </c>
      <c r="D284" s="1" t="s">
        <v>6642</v>
      </c>
      <c r="E284" s="1" t="s">
        <v>53</v>
      </c>
      <c r="F284" s="1" t="s">
        <v>6643</v>
      </c>
      <c r="G284" s="1" t="s">
        <v>6644</v>
      </c>
      <c r="H284" s="1" t="s">
        <v>6645</v>
      </c>
      <c r="I284" s="2">
        <v>2024</v>
      </c>
      <c r="J284" s="1" t="s">
        <v>6646</v>
      </c>
      <c r="K284" s="1" t="s">
        <v>6647</v>
      </c>
      <c r="L284" s="1" t="s">
        <v>6648</v>
      </c>
      <c r="M284" s="1">
        <v>68</v>
      </c>
      <c r="N284" s="1">
        <v>0</v>
      </c>
      <c r="O284" s="1">
        <v>2</v>
      </c>
      <c r="P284" s="1">
        <v>2</v>
      </c>
      <c r="Q284" s="1" t="s">
        <v>1465</v>
      </c>
      <c r="R284" s="1" t="s">
        <v>361</v>
      </c>
      <c r="S284" s="1" t="s">
        <v>1466</v>
      </c>
      <c r="T284" s="1" t="s">
        <v>6649</v>
      </c>
      <c r="U284" s="1" t="s">
        <v>6650</v>
      </c>
      <c r="V284" s="1">
        <v>17</v>
      </c>
      <c r="W284" s="1">
        <v>3</v>
      </c>
      <c r="X284" s="1" t="s">
        <v>6651</v>
      </c>
      <c r="Y284" s="1" t="str">
        <f>HYPERLINK("http://dx.doi.org/10.1017/inp.2024.24","http://dx.doi.org/10.1017/inp.2024.24")</f>
        <v>http://dx.doi.org/10.1017/inp.2024.24</v>
      </c>
      <c r="Z284" s="1">
        <v>11</v>
      </c>
      <c r="AA284" s="1" t="s">
        <v>426</v>
      </c>
      <c r="AB284" s="1" t="s">
        <v>67</v>
      </c>
      <c r="AC284" s="1" t="s">
        <v>426</v>
      </c>
      <c r="AD284" s="1" t="s">
        <v>48</v>
      </c>
      <c r="AE284" s="1" t="s">
        <v>48</v>
      </c>
    </row>
    <row r="285" spans="1:31" s="1" customFormat="1" ht="18.5" x14ac:dyDescent="0.45">
      <c r="A285" s="1" t="s">
        <v>6657</v>
      </c>
      <c r="B285" s="1" t="s">
        <v>6658</v>
      </c>
      <c r="C285" s="1" t="s">
        <v>6659</v>
      </c>
      <c r="D285" s="1" t="s">
        <v>6660</v>
      </c>
      <c r="E285" s="1" t="s">
        <v>53</v>
      </c>
      <c r="F285" s="1" t="s">
        <v>6661</v>
      </c>
      <c r="G285" s="1" t="s">
        <v>6662</v>
      </c>
      <c r="H285" s="1" t="s">
        <v>6663</v>
      </c>
      <c r="I285" s="2">
        <v>2024</v>
      </c>
      <c r="J285" s="1" t="s">
        <v>6664</v>
      </c>
      <c r="K285" s="1" t="s">
        <v>6665</v>
      </c>
      <c r="L285" s="1" t="s">
        <v>6666</v>
      </c>
      <c r="M285" s="1">
        <v>66</v>
      </c>
      <c r="N285" s="1">
        <v>1</v>
      </c>
      <c r="O285" s="1">
        <v>18</v>
      </c>
      <c r="P285" s="1">
        <v>18</v>
      </c>
      <c r="Q285" s="1" t="s">
        <v>252</v>
      </c>
      <c r="R285" s="1" t="s">
        <v>253</v>
      </c>
      <c r="S285" s="1" t="s">
        <v>254</v>
      </c>
      <c r="T285" s="1" t="s">
        <v>6667</v>
      </c>
      <c r="U285" s="1" t="s">
        <v>6668</v>
      </c>
      <c r="V285" s="1">
        <v>21</v>
      </c>
      <c r="W285" s="1">
        <v>12</v>
      </c>
      <c r="X285" s="1" t="s">
        <v>6669</v>
      </c>
      <c r="Y285" s="1" t="str">
        <f>HYPERLINK("http://dx.doi.org/10.1007/s10346-024-02370-1","http://dx.doi.org/10.1007/s10346-024-02370-1")</f>
        <v>http://dx.doi.org/10.1007/s10346-024-02370-1</v>
      </c>
      <c r="Z285" s="1">
        <v>17</v>
      </c>
      <c r="AA285" s="1" t="s">
        <v>6670</v>
      </c>
      <c r="AB285" s="1" t="s">
        <v>67</v>
      </c>
      <c r="AC285" s="1" t="s">
        <v>6671</v>
      </c>
      <c r="AD285" s="1" t="s">
        <v>48</v>
      </c>
      <c r="AE285" s="1" t="s">
        <v>48</v>
      </c>
    </row>
    <row r="286" spans="1:31" s="1" customFormat="1" ht="18.5" x14ac:dyDescent="0.45">
      <c r="A286" s="1" t="s">
        <v>6702</v>
      </c>
      <c r="B286" s="1" t="s">
        <v>6703</v>
      </c>
      <c r="C286" s="1" t="s">
        <v>6704</v>
      </c>
      <c r="D286" s="1" t="s">
        <v>341</v>
      </c>
      <c r="E286" s="1" t="s">
        <v>53</v>
      </c>
      <c r="F286" s="1" t="s">
        <v>6705</v>
      </c>
      <c r="G286" s="1" t="s">
        <v>6706</v>
      </c>
      <c r="H286" s="1" t="s">
        <v>6707</v>
      </c>
      <c r="I286" s="2">
        <v>2024</v>
      </c>
      <c r="J286" s="1" t="s">
        <v>6708</v>
      </c>
      <c r="K286" s="1" t="s">
        <v>6709</v>
      </c>
      <c r="L286" s="1" t="s">
        <v>3301</v>
      </c>
      <c r="M286" s="1">
        <v>85</v>
      </c>
      <c r="N286" s="1">
        <v>1</v>
      </c>
      <c r="O286" s="1">
        <v>1</v>
      </c>
      <c r="P286" s="1">
        <v>1</v>
      </c>
      <c r="Q286" s="1" t="s">
        <v>347</v>
      </c>
      <c r="R286" s="1" t="s">
        <v>348</v>
      </c>
      <c r="S286" s="1" t="s">
        <v>349</v>
      </c>
      <c r="T286" s="1" t="s">
        <v>350</v>
      </c>
      <c r="U286" s="1" t="s">
        <v>351</v>
      </c>
      <c r="V286" s="1">
        <v>38</v>
      </c>
      <c r="W286" s="1">
        <v>12</v>
      </c>
      <c r="X286" s="1" t="s">
        <v>6710</v>
      </c>
      <c r="Y286" s="1" t="str">
        <f>HYPERLINK("http://dx.doi.org/10.1002/hyp.70015","http://dx.doi.org/10.1002/hyp.70015")</f>
        <v>http://dx.doi.org/10.1002/hyp.70015</v>
      </c>
      <c r="Z286" s="1">
        <v>16</v>
      </c>
      <c r="AA286" s="1" t="s">
        <v>205</v>
      </c>
      <c r="AB286" s="1" t="s">
        <v>67</v>
      </c>
      <c r="AC286" s="1" t="s">
        <v>205</v>
      </c>
      <c r="AD286" s="1" t="s">
        <v>48</v>
      </c>
      <c r="AE286" s="1" t="s">
        <v>48</v>
      </c>
    </row>
    <row r="287" spans="1:31" s="1" customFormat="1" ht="18.5" x14ac:dyDescent="0.45">
      <c r="A287" s="1" t="s">
        <v>6717</v>
      </c>
      <c r="B287" s="1" t="s">
        <v>6718</v>
      </c>
      <c r="C287" s="1" t="s">
        <v>6719</v>
      </c>
      <c r="D287" s="1" t="s">
        <v>3654</v>
      </c>
      <c r="E287" s="1" t="s">
        <v>53</v>
      </c>
      <c r="F287" s="1" t="s">
        <v>6720</v>
      </c>
      <c r="G287" s="1" t="s">
        <v>6721</v>
      </c>
      <c r="H287" s="1" t="s">
        <v>6722</v>
      </c>
      <c r="I287" s="2">
        <v>2024</v>
      </c>
      <c r="J287" s="1" t="s">
        <v>6723</v>
      </c>
      <c r="K287" s="1" t="s">
        <v>6724</v>
      </c>
      <c r="L287" s="1" t="s">
        <v>6725</v>
      </c>
      <c r="M287" s="1">
        <v>52</v>
      </c>
      <c r="N287" s="1">
        <v>3</v>
      </c>
      <c r="O287" s="1">
        <v>14</v>
      </c>
      <c r="P287" s="1">
        <v>14</v>
      </c>
      <c r="Q287" s="1" t="s">
        <v>1183</v>
      </c>
      <c r="R287" s="1" t="s">
        <v>1184</v>
      </c>
      <c r="S287" s="1" t="s">
        <v>1185</v>
      </c>
      <c r="T287" s="1" t="s">
        <v>48</v>
      </c>
      <c r="U287" s="1" t="s">
        <v>3660</v>
      </c>
      <c r="V287" s="1">
        <v>7</v>
      </c>
      <c r="W287" s="1">
        <v>20</v>
      </c>
      <c r="X287" s="1" t="s">
        <v>6726</v>
      </c>
      <c r="Y287" s="1" t="str">
        <f>HYPERLINK("http://dx.doi.org/10.1021/acsanm.4c05653","http://dx.doi.org/10.1021/acsanm.4c05653")</f>
        <v>http://dx.doi.org/10.1021/acsanm.4c05653</v>
      </c>
      <c r="Z287" s="1">
        <v>10</v>
      </c>
      <c r="AA287" s="1" t="s">
        <v>3662</v>
      </c>
      <c r="AB287" s="1" t="s">
        <v>67</v>
      </c>
      <c r="AC287" s="1" t="s">
        <v>3663</v>
      </c>
      <c r="AD287" s="1" t="s">
        <v>48</v>
      </c>
      <c r="AE287" s="1" t="s">
        <v>48</v>
      </c>
    </row>
    <row r="288" spans="1:31" s="1" customFormat="1" ht="18.5" x14ac:dyDescent="0.45">
      <c r="A288" s="1" t="s">
        <v>6734</v>
      </c>
      <c r="B288" s="1" t="s">
        <v>6735</v>
      </c>
      <c r="C288" s="1" t="s">
        <v>6736</v>
      </c>
      <c r="D288" s="1" t="s">
        <v>6737</v>
      </c>
      <c r="E288" s="1" t="s">
        <v>53</v>
      </c>
      <c r="F288" s="1" t="s">
        <v>6738</v>
      </c>
      <c r="G288" s="1" t="s">
        <v>6739</v>
      </c>
      <c r="H288" s="1" t="s">
        <v>6740</v>
      </c>
      <c r="I288" s="2">
        <v>2024</v>
      </c>
      <c r="J288" s="1" t="s">
        <v>6741</v>
      </c>
      <c r="K288" s="1" t="s">
        <v>6742</v>
      </c>
      <c r="L288" s="1" t="s">
        <v>6743</v>
      </c>
      <c r="M288" s="1">
        <v>68</v>
      </c>
      <c r="N288" s="1">
        <v>0</v>
      </c>
      <c r="O288" s="1">
        <v>8</v>
      </c>
      <c r="P288" s="1">
        <v>8</v>
      </c>
      <c r="Q288" s="1" t="s">
        <v>347</v>
      </c>
      <c r="R288" s="1" t="s">
        <v>348</v>
      </c>
      <c r="S288" s="1" t="s">
        <v>349</v>
      </c>
      <c r="T288" s="1" t="s">
        <v>6744</v>
      </c>
      <c r="U288" s="1" t="s">
        <v>6745</v>
      </c>
      <c r="V288" s="1">
        <v>35</v>
      </c>
      <c r="W288" s="1">
        <v>18</v>
      </c>
      <c r="X288" s="1" t="s">
        <v>6746</v>
      </c>
      <c r="Y288" s="1" t="str">
        <f>HYPERLINK("http://dx.doi.org/10.1002/ldr.5335","http://dx.doi.org/10.1002/ldr.5335")</f>
        <v>http://dx.doi.org/10.1002/ldr.5335</v>
      </c>
      <c r="Z288" s="1">
        <v>12</v>
      </c>
      <c r="AA288" s="1" t="s">
        <v>6747</v>
      </c>
      <c r="AB288" s="1" t="s">
        <v>67</v>
      </c>
      <c r="AC288" s="1" t="s">
        <v>6748</v>
      </c>
      <c r="AD288" s="1" t="s">
        <v>48</v>
      </c>
      <c r="AE288" s="1" t="s">
        <v>48</v>
      </c>
    </row>
    <row r="289" spans="1:31" s="1" customFormat="1" ht="18.5" x14ac:dyDescent="0.45">
      <c r="A289" s="1" t="s">
        <v>6767</v>
      </c>
      <c r="B289" s="1" t="s">
        <v>6768</v>
      </c>
      <c r="C289" s="1" t="s">
        <v>6769</v>
      </c>
      <c r="D289" s="1" t="s">
        <v>6770</v>
      </c>
      <c r="E289" s="1" t="s">
        <v>53</v>
      </c>
      <c r="F289" s="1" t="s">
        <v>6771</v>
      </c>
      <c r="G289" s="1" t="s">
        <v>6772</v>
      </c>
      <c r="H289" s="1" t="s">
        <v>6773</v>
      </c>
      <c r="I289" s="2">
        <v>2024</v>
      </c>
      <c r="J289" s="1" t="s">
        <v>6774</v>
      </c>
      <c r="K289" s="1" t="s">
        <v>6775</v>
      </c>
      <c r="L289" s="1" t="s">
        <v>6776</v>
      </c>
      <c r="M289" s="1">
        <v>131</v>
      </c>
      <c r="N289" s="1">
        <v>9</v>
      </c>
      <c r="O289" s="1">
        <v>3</v>
      </c>
      <c r="P289" s="1">
        <v>3</v>
      </c>
      <c r="Q289" s="1" t="s">
        <v>266</v>
      </c>
      <c r="R289" s="1" t="s">
        <v>267</v>
      </c>
      <c r="S289" s="1" t="s">
        <v>268</v>
      </c>
      <c r="T289" s="1" t="s">
        <v>6777</v>
      </c>
      <c r="U289" s="1" t="s">
        <v>6778</v>
      </c>
      <c r="V289" s="1">
        <v>465</v>
      </c>
      <c r="W289" s="1" t="s">
        <v>48</v>
      </c>
      <c r="X289" s="1" t="s">
        <v>6779</v>
      </c>
      <c r="Y289" s="1" t="str">
        <f>HYPERLINK("http://dx.doi.org/10.1016/j.aop.2024.169679","http://dx.doi.org/10.1016/j.aop.2024.169679")</f>
        <v>http://dx.doi.org/10.1016/j.aop.2024.169679</v>
      </c>
      <c r="Z289" s="1">
        <v>42</v>
      </c>
      <c r="AA289" s="1" t="s">
        <v>669</v>
      </c>
      <c r="AB289" s="1" t="s">
        <v>67</v>
      </c>
      <c r="AC289" s="1" t="s">
        <v>670</v>
      </c>
      <c r="AD289" s="1" t="s">
        <v>48</v>
      </c>
      <c r="AE289" s="1" t="s">
        <v>2074</v>
      </c>
    </row>
    <row r="290" spans="1:31" s="1" customFormat="1" ht="18.5" x14ac:dyDescent="0.45">
      <c r="A290" s="1" t="s">
        <v>6780</v>
      </c>
      <c r="B290" s="1" t="s">
        <v>6781</v>
      </c>
      <c r="C290" s="1" t="s">
        <v>6782</v>
      </c>
      <c r="D290" s="1" t="s">
        <v>404</v>
      </c>
      <c r="E290" s="1" t="s">
        <v>53</v>
      </c>
      <c r="F290" s="1" t="s">
        <v>48</v>
      </c>
      <c r="G290" s="1" t="s">
        <v>6783</v>
      </c>
      <c r="H290" s="1" t="s">
        <v>6784</v>
      </c>
      <c r="I290" s="2">
        <v>2024</v>
      </c>
      <c r="J290" s="1" t="s">
        <v>6785</v>
      </c>
      <c r="K290" s="1" t="s">
        <v>6786</v>
      </c>
      <c r="L290" s="1" t="s">
        <v>6787</v>
      </c>
      <c r="M290" s="1">
        <v>56</v>
      </c>
      <c r="N290" s="1">
        <v>2</v>
      </c>
      <c r="O290" s="1">
        <v>3</v>
      </c>
      <c r="P290" s="1">
        <v>3</v>
      </c>
      <c r="Q290" s="1" t="s">
        <v>410</v>
      </c>
      <c r="R290" s="1" t="s">
        <v>411</v>
      </c>
      <c r="S290" s="1" t="s">
        <v>412</v>
      </c>
      <c r="T290" s="1" t="s">
        <v>413</v>
      </c>
      <c r="U290" s="1" t="s">
        <v>48</v>
      </c>
      <c r="V290" s="1">
        <v>14</v>
      </c>
      <c r="W290" s="1">
        <v>1</v>
      </c>
      <c r="X290" s="1" t="s">
        <v>6788</v>
      </c>
      <c r="Y290" s="1" t="str">
        <f>HYPERLINK("http://dx.doi.org/10.1038/s41598-024-56432-4","http://dx.doi.org/10.1038/s41598-024-56432-4")</f>
        <v>http://dx.doi.org/10.1038/s41598-024-56432-4</v>
      </c>
      <c r="Z290" s="1">
        <v>13</v>
      </c>
      <c r="AA290" s="1" t="s">
        <v>335</v>
      </c>
      <c r="AB290" s="1" t="s">
        <v>67</v>
      </c>
      <c r="AC290" s="1" t="s">
        <v>336</v>
      </c>
      <c r="AD290" s="1">
        <v>38523153</v>
      </c>
      <c r="AE290" s="1" t="s">
        <v>337</v>
      </c>
    </row>
    <row r="291" spans="1:31" s="1" customFormat="1" ht="18.5" x14ac:dyDescent="0.45">
      <c r="A291" s="1" t="s">
        <v>6803</v>
      </c>
      <c r="B291" s="1" t="s">
        <v>6804</v>
      </c>
      <c r="C291" s="1" t="s">
        <v>6805</v>
      </c>
      <c r="D291" s="1" t="s">
        <v>2618</v>
      </c>
      <c r="E291" s="1" t="s">
        <v>53</v>
      </c>
      <c r="F291" s="1" t="s">
        <v>48</v>
      </c>
      <c r="G291" s="1" t="s">
        <v>6806</v>
      </c>
      <c r="H291" s="1" t="s">
        <v>6807</v>
      </c>
      <c r="I291" s="2">
        <v>2024</v>
      </c>
      <c r="J291" s="1" t="s">
        <v>6808</v>
      </c>
      <c r="K291" s="1" t="s">
        <v>6809</v>
      </c>
      <c r="L291" s="1" t="s">
        <v>6810</v>
      </c>
      <c r="M291" s="1">
        <v>64</v>
      </c>
      <c r="N291" s="1">
        <v>0</v>
      </c>
      <c r="O291" s="1">
        <v>0</v>
      </c>
      <c r="P291" s="1">
        <v>0</v>
      </c>
      <c r="Q291" s="1" t="s">
        <v>503</v>
      </c>
      <c r="R291" s="1" t="s">
        <v>542</v>
      </c>
      <c r="S291" s="1" t="s">
        <v>543</v>
      </c>
      <c r="T291" s="1" t="s">
        <v>2623</v>
      </c>
      <c r="U291" s="1" t="s">
        <v>2624</v>
      </c>
      <c r="V291" s="1">
        <v>35</v>
      </c>
      <c r="W291" s="1">
        <v>36</v>
      </c>
      <c r="X291" s="1" t="s">
        <v>6811</v>
      </c>
      <c r="Y291" s="1" t="str">
        <f>HYPERLINK("http://dx.doi.org/10.1007/s10854-024-14071-5","http://dx.doi.org/10.1007/s10854-024-14071-5")</f>
        <v>http://dx.doi.org/10.1007/s10854-024-14071-5</v>
      </c>
      <c r="Z291" s="1">
        <v>18</v>
      </c>
      <c r="AA291" s="1" t="s">
        <v>2628</v>
      </c>
      <c r="AB291" s="1" t="s">
        <v>67</v>
      </c>
      <c r="AC291" s="1" t="s">
        <v>2629</v>
      </c>
      <c r="AD291" s="1" t="s">
        <v>48</v>
      </c>
      <c r="AE291" s="1" t="s">
        <v>48</v>
      </c>
    </row>
    <row r="292" spans="1:31" s="1" customFormat="1" ht="18.5" x14ac:dyDescent="0.45">
      <c r="A292" s="1" t="s">
        <v>6821</v>
      </c>
      <c r="B292" s="1" t="s">
        <v>6822</v>
      </c>
      <c r="C292" s="1" t="s">
        <v>6823</v>
      </c>
      <c r="D292" s="1" t="s">
        <v>357</v>
      </c>
      <c r="E292" s="1" t="s">
        <v>53</v>
      </c>
      <c r="F292" s="1" t="s">
        <v>6824</v>
      </c>
      <c r="G292" s="1" t="s">
        <v>6825</v>
      </c>
      <c r="H292" s="1" t="s">
        <v>6826</v>
      </c>
      <c r="I292" s="2">
        <v>2024</v>
      </c>
      <c r="J292" s="1" t="s">
        <v>6827</v>
      </c>
      <c r="K292" s="1" t="s">
        <v>6828</v>
      </c>
      <c r="L292" s="1" t="s">
        <v>6829</v>
      </c>
      <c r="M292" s="1">
        <v>45</v>
      </c>
      <c r="N292" s="1">
        <v>1</v>
      </c>
      <c r="O292" s="1">
        <v>3</v>
      </c>
      <c r="P292" s="1">
        <v>3</v>
      </c>
      <c r="Q292" s="1" t="s">
        <v>360</v>
      </c>
      <c r="R292" s="1" t="s">
        <v>361</v>
      </c>
      <c r="S292" s="1" t="s">
        <v>362</v>
      </c>
      <c r="T292" s="1" t="s">
        <v>48</v>
      </c>
      <c r="U292" s="1" t="s">
        <v>363</v>
      </c>
      <c r="V292" s="1">
        <v>10</v>
      </c>
      <c r="W292" s="1">
        <v>16</v>
      </c>
      <c r="X292" s="1" t="s">
        <v>6830</v>
      </c>
      <c r="Y292" s="1" t="str">
        <f>HYPERLINK("http://dx.doi.org/10.1016/j.heliyon.2024.e35996","http://dx.doi.org/10.1016/j.heliyon.2024.e35996")</f>
        <v>http://dx.doi.org/10.1016/j.heliyon.2024.e35996</v>
      </c>
      <c r="Z292" s="1">
        <v>27</v>
      </c>
      <c r="AA292" s="1" t="s">
        <v>335</v>
      </c>
      <c r="AB292" s="1" t="s">
        <v>67</v>
      </c>
      <c r="AC292" s="1" t="s">
        <v>336</v>
      </c>
      <c r="AD292" s="1">
        <v>39253210</v>
      </c>
      <c r="AE292" s="1" t="s">
        <v>337</v>
      </c>
    </row>
    <row r="293" spans="1:31" s="1" customFormat="1" ht="18.5" x14ac:dyDescent="0.45">
      <c r="A293" s="1" t="s">
        <v>6831</v>
      </c>
      <c r="B293" s="1" t="s">
        <v>6832</v>
      </c>
      <c r="C293" s="1" t="s">
        <v>6833</v>
      </c>
      <c r="D293" s="1" t="s">
        <v>6834</v>
      </c>
      <c r="E293" s="1" t="s">
        <v>53</v>
      </c>
      <c r="F293" s="1" t="s">
        <v>48</v>
      </c>
      <c r="G293" s="1" t="s">
        <v>6835</v>
      </c>
      <c r="H293" s="1" t="s">
        <v>6836</v>
      </c>
      <c r="I293" s="2">
        <v>2024</v>
      </c>
      <c r="J293" s="1" t="s">
        <v>6837</v>
      </c>
      <c r="K293" s="1" t="s">
        <v>6838</v>
      </c>
      <c r="L293" s="1" t="s">
        <v>6839</v>
      </c>
      <c r="M293" s="1">
        <v>82</v>
      </c>
      <c r="N293" s="1">
        <v>0</v>
      </c>
      <c r="O293" s="1">
        <v>4</v>
      </c>
      <c r="P293" s="1">
        <v>6</v>
      </c>
      <c r="Q293" s="1" t="s">
        <v>1183</v>
      </c>
      <c r="R293" s="1" t="s">
        <v>1184</v>
      </c>
      <c r="S293" s="1" t="s">
        <v>1185</v>
      </c>
      <c r="T293" s="1" t="s">
        <v>6840</v>
      </c>
      <c r="U293" s="1" t="s">
        <v>6841</v>
      </c>
      <c r="V293" s="1">
        <v>128</v>
      </c>
      <c r="W293" s="1">
        <v>28</v>
      </c>
      <c r="X293" s="1" t="s">
        <v>6842</v>
      </c>
      <c r="Y293" s="1" t="str">
        <f>HYPERLINK("http://dx.doi.org/10.1021/acs.jpcb.4c01455","http://dx.doi.org/10.1021/acs.jpcb.4c01455")</f>
        <v>http://dx.doi.org/10.1021/acs.jpcb.4c01455</v>
      </c>
      <c r="Z293" s="1">
        <v>14</v>
      </c>
      <c r="AA293" s="1" t="s">
        <v>2899</v>
      </c>
      <c r="AB293" s="1" t="s">
        <v>67</v>
      </c>
      <c r="AC293" s="1" t="s">
        <v>2293</v>
      </c>
      <c r="AD293" s="1">
        <v>38959082</v>
      </c>
      <c r="AE293" s="1" t="s">
        <v>48</v>
      </c>
    </row>
    <row r="294" spans="1:31" s="1" customFormat="1" ht="18.5" x14ac:dyDescent="0.45">
      <c r="A294" s="1" t="s">
        <v>6843</v>
      </c>
      <c r="B294" s="1" t="s">
        <v>6844</v>
      </c>
      <c r="C294" s="1" t="s">
        <v>6845</v>
      </c>
      <c r="D294" s="1" t="s">
        <v>6846</v>
      </c>
      <c r="E294" s="1" t="s">
        <v>53</v>
      </c>
      <c r="F294" s="1" t="s">
        <v>6847</v>
      </c>
      <c r="G294" s="1" t="s">
        <v>6848</v>
      </c>
      <c r="H294" s="1" t="s">
        <v>6849</v>
      </c>
      <c r="I294" s="2">
        <v>2024</v>
      </c>
      <c r="J294" s="1" t="s">
        <v>6850</v>
      </c>
      <c r="K294" s="1" t="s">
        <v>6851</v>
      </c>
      <c r="L294" s="1" t="s">
        <v>6852</v>
      </c>
      <c r="M294" s="1">
        <v>43</v>
      </c>
      <c r="N294" s="1">
        <v>1</v>
      </c>
      <c r="O294" s="1">
        <v>0</v>
      </c>
      <c r="P294" s="1">
        <v>0</v>
      </c>
      <c r="Q294" s="1" t="s">
        <v>347</v>
      </c>
      <c r="R294" s="1" t="s">
        <v>348</v>
      </c>
      <c r="S294" s="1" t="s">
        <v>349</v>
      </c>
      <c r="T294" s="1" t="s">
        <v>6853</v>
      </c>
      <c r="U294" s="1" t="s">
        <v>6854</v>
      </c>
      <c r="V294" s="1">
        <v>54</v>
      </c>
      <c r="W294" s="1">
        <v>8</v>
      </c>
      <c r="X294" s="1" t="s">
        <v>6855</v>
      </c>
      <c r="Y294" s="1" t="str">
        <f>HYPERLINK("http://dx.doi.org/10.1002/spe.3324","http://dx.doi.org/10.1002/spe.3324")</f>
        <v>http://dx.doi.org/10.1002/spe.3324</v>
      </c>
      <c r="Z294" s="1">
        <v>17</v>
      </c>
      <c r="AA294" s="1" t="s">
        <v>5145</v>
      </c>
      <c r="AB294" s="1" t="s">
        <v>67</v>
      </c>
      <c r="AC294" s="1" t="s">
        <v>292</v>
      </c>
      <c r="AD294" s="1" t="s">
        <v>48</v>
      </c>
      <c r="AE294" s="1" t="s">
        <v>48</v>
      </c>
    </row>
    <row r="295" spans="1:31" s="1" customFormat="1" ht="18.5" x14ac:dyDescent="0.45">
      <c r="A295" s="1" t="s">
        <v>6856</v>
      </c>
      <c r="B295" s="1" t="s">
        <v>6857</v>
      </c>
      <c r="C295" s="1" t="s">
        <v>6858</v>
      </c>
      <c r="D295" s="1" t="s">
        <v>1030</v>
      </c>
      <c r="E295" s="1" t="s">
        <v>53</v>
      </c>
      <c r="F295" s="1" t="s">
        <v>6859</v>
      </c>
      <c r="G295" s="1" t="s">
        <v>6860</v>
      </c>
      <c r="H295" s="1" t="s">
        <v>6861</v>
      </c>
      <c r="I295" s="2">
        <v>2024</v>
      </c>
      <c r="J295" s="1" t="s">
        <v>6862</v>
      </c>
      <c r="K295" s="1" t="s">
        <v>6863</v>
      </c>
      <c r="L295" s="1" t="s">
        <v>131</v>
      </c>
      <c r="M295" s="1">
        <v>51</v>
      </c>
      <c r="N295" s="1">
        <v>5</v>
      </c>
      <c r="O295" s="1">
        <v>2</v>
      </c>
      <c r="P295" s="1">
        <v>2</v>
      </c>
      <c r="Q295" s="1" t="s">
        <v>252</v>
      </c>
      <c r="R295" s="1" t="s">
        <v>253</v>
      </c>
      <c r="S295" s="1" t="s">
        <v>254</v>
      </c>
      <c r="T295" s="1" t="s">
        <v>1036</v>
      </c>
      <c r="U295" s="1" t="s">
        <v>1037</v>
      </c>
      <c r="V295" s="1">
        <v>70</v>
      </c>
      <c r="W295" s="1">
        <v>5</v>
      </c>
      <c r="X295" s="1" t="s">
        <v>6864</v>
      </c>
      <c r="Y295" s="1" t="str">
        <f>HYPERLINK("http://dx.doi.org/10.1007/s12190-024-02137-w","http://dx.doi.org/10.1007/s12190-024-02137-w")</f>
        <v>http://dx.doi.org/10.1007/s12190-024-02137-w</v>
      </c>
      <c r="Z295" s="1">
        <v>22</v>
      </c>
      <c r="AA295" s="1" t="s">
        <v>1041</v>
      </c>
      <c r="AB295" s="1" t="s">
        <v>67</v>
      </c>
      <c r="AC295" s="1" t="s">
        <v>137</v>
      </c>
      <c r="AD295" s="1" t="s">
        <v>48</v>
      </c>
      <c r="AE295" s="1" t="s">
        <v>48</v>
      </c>
    </row>
    <row r="296" spans="1:31" s="1" customFormat="1" ht="18.5" x14ac:dyDescent="0.45">
      <c r="A296" s="1" t="s">
        <v>6865</v>
      </c>
      <c r="B296" s="1" t="s">
        <v>6866</v>
      </c>
      <c r="C296" s="1" t="s">
        <v>6867</v>
      </c>
      <c r="D296" s="1" t="s">
        <v>296</v>
      </c>
      <c r="E296" s="1" t="s">
        <v>53</v>
      </c>
      <c r="F296" s="1" t="s">
        <v>6868</v>
      </c>
      <c r="G296" s="1" t="s">
        <v>6869</v>
      </c>
      <c r="H296" s="1" t="s">
        <v>6870</v>
      </c>
      <c r="I296" s="2">
        <v>2024</v>
      </c>
      <c r="J296" s="1" t="s">
        <v>6871</v>
      </c>
      <c r="K296" s="1" t="s">
        <v>6872</v>
      </c>
      <c r="L296" s="1" t="s">
        <v>6873</v>
      </c>
      <c r="M296" s="1">
        <v>60</v>
      </c>
      <c r="N296" s="1">
        <v>0</v>
      </c>
      <c r="O296" s="1">
        <v>10</v>
      </c>
      <c r="P296" s="1">
        <v>10</v>
      </c>
      <c r="Q296" s="1" t="s">
        <v>198</v>
      </c>
      <c r="R296" s="1" t="s">
        <v>146</v>
      </c>
      <c r="S296" s="1" t="s">
        <v>199</v>
      </c>
      <c r="T296" s="1" t="s">
        <v>299</v>
      </c>
      <c r="U296" s="1" t="s">
        <v>300</v>
      </c>
      <c r="V296" s="1">
        <v>11</v>
      </c>
      <c r="W296" s="1">
        <v>1</v>
      </c>
      <c r="X296" s="1" t="s">
        <v>6874</v>
      </c>
      <c r="Y296" s="1" t="str">
        <f>HYPERLINK("http://dx.doi.org/10.1080/23302674.2024.2399283","http://dx.doi.org/10.1080/23302674.2024.2399283")</f>
        <v>http://dx.doi.org/10.1080/23302674.2024.2399283</v>
      </c>
      <c r="Z296" s="1">
        <v>24</v>
      </c>
      <c r="AA296" s="1" t="s">
        <v>305</v>
      </c>
      <c r="AB296" s="1" t="s">
        <v>67</v>
      </c>
      <c r="AC296" s="1" t="s">
        <v>306</v>
      </c>
      <c r="AD296" s="1" t="s">
        <v>48</v>
      </c>
      <c r="AE296" s="1" t="s">
        <v>48</v>
      </c>
    </row>
    <row r="297" spans="1:31" s="1" customFormat="1" ht="18.5" x14ac:dyDescent="0.45">
      <c r="A297" s="1" t="s">
        <v>6910</v>
      </c>
      <c r="B297" s="1" t="s">
        <v>6911</v>
      </c>
      <c r="C297" s="1" t="s">
        <v>6912</v>
      </c>
      <c r="D297" s="1" t="s">
        <v>6913</v>
      </c>
      <c r="E297" s="1" t="s">
        <v>111</v>
      </c>
      <c r="F297" s="1" t="s">
        <v>6914</v>
      </c>
      <c r="G297" s="1" t="s">
        <v>6915</v>
      </c>
      <c r="H297" s="1" t="s">
        <v>6916</v>
      </c>
      <c r="I297" s="2">
        <v>2024</v>
      </c>
      <c r="J297" s="1" t="s">
        <v>6917</v>
      </c>
      <c r="K297" s="1" t="s">
        <v>6918</v>
      </c>
      <c r="L297" s="1" t="s">
        <v>6919</v>
      </c>
      <c r="M297" s="1">
        <v>49</v>
      </c>
      <c r="N297" s="1">
        <v>0</v>
      </c>
      <c r="O297" s="1">
        <v>1</v>
      </c>
      <c r="P297" s="1">
        <v>1</v>
      </c>
      <c r="Q297" s="1" t="s">
        <v>503</v>
      </c>
      <c r="R297" s="1" t="s">
        <v>504</v>
      </c>
      <c r="S297" s="1" t="s">
        <v>505</v>
      </c>
      <c r="T297" s="1" t="s">
        <v>6920</v>
      </c>
      <c r="U297" s="1" t="s">
        <v>6921</v>
      </c>
      <c r="V297" s="1" t="s">
        <v>48</v>
      </c>
      <c r="W297" s="1" t="s">
        <v>48</v>
      </c>
      <c r="X297" s="1" t="s">
        <v>6922</v>
      </c>
      <c r="Y297" s="1" t="str">
        <f>HYPERLINK("http://dx.doi.org/10.1007/s11069-024-07026-w","http://dx.doi.org/10.1007/s11069-024-07026-w")</f>
        <v>http://dx.doi.org/10.1007/s11069-024-07026-w</v>
      </c>
      <c r="Z297" s="1">
        <v>21</v>
      </c>
      <c r="AA297" s="1" t="s">
        <v>6923</v>
      </c>
      <c r="AB297" s="1" t="s">
        <v>67</v>
      </c>
      <c r="AC297" s="1" t="s">
        <v>6924</v>
      </c>
      <c r="AD297" s="1" t="s">
        <v>48</v>
      </c>
      <c r="AE297" s="1" t="s">
        <v>48</v>
      </c>
    </row>
    <row r="298" spans="1:31" s="1" customFormat="1" ht="18.5" x14ac:dyDescent="0.45">
      <c r="A298" s="1" t="s">
        <v>6925</v>
      </c>
      <c r="B298" s="1" t="s">
        <v>6926</v>
      </c>
      <c r="C298" s="1" t="s">
        <v>6927</v>
      </c>
      <c r="D298" s="1" t="s">
        <v>357</v>
      </c>
      <c r="E298" s="1" t="s">
        <v>53</v>
      </c>
      <c r="F298" s="1" t="s">
        <v>6928</v>
      </c>
      <c r="G298" s="1" t="s">
        <v>6929</v>
      </c>
      <c r="H298" s="1" t="s">
        <v>6930</v>
      </c>
      <c r="I298" s="2">
        <v>2024</v>
      </c>
      <c r="J298" s="1" t="s">
        <v>6931</v>
      </c>
      <c r="K298" s="1" t="s">
        <v>6932</v>
      </c>
      <c r="L298" s="1" t="s">
        <v>6829</v>
      </c>
      <c r="M298" s="1">
        <v>60</v>
      </c>
      <c r="N298" s="1">
        <v>2</v>
      </c>
      <c r="O298" s="1">
        <v>3</v>
      </c>
      <c r="P298" s="1">
        <v>3</v>
      </c>
      <c r="Q298" s="1" t="s">
        <v>360</v>
      </c>
      <c r="R298" s="1" t="s">
        <v>361</v>
      </c>
      <c r="S298" s="1" t="s">
        <v>362</v>
      </c>
      <c r="T298" s="1" t="s">
        <v>48</v>
      </c>
      <c r="U298" s="1" t="s">
        <v>363</v>
      </c>
      <c r="V298" s="1">
        <v>10</v>
      </c>
      <c r="W298" s="1">
        <v>16</v>
      </c>
      <c r="X298" s="1" t="s">
        <v>6933</v>
      </c>
      <c r="Y298" s="1" t="str">
        <f>HYPERLINK("http://dx.doi.org/10.1016/j.heliyon.2024.e36110","http://dx.doi.org/10.1016/j.heliyon.2024.e36110")</f>
        <v>http://dx.doi.org/10.1016/j.heliyon.2024.e36110</v>
      </c>
      <c r="Z298" s="1">
        <v>21</v>
      </c>
      <c r="AA298" s="1" t="s">
        <v>335</v>
      </c>
      <c r="AB298" s="1" t="s">
        <v>67</v>
      </c>
      <c r="AC298" s="1" t="s">
        <v>336</v>
      </c>
      <c r="AD298" s="1">
        <v>39247359</v>
      </c>
      <c r="AE298" s="1" t="s">
        <v>1325</v>
      </c>
    </row>
    <row r="299" spans="1:31" s="1" customFormat="1" ht="18.5" x14ac:dyDescent="0.45">
      <c r="A299" s="1" t="s">
        <v>6934</v>
      </c>
      <c r="B299" s="1" t="s">
        <v>6935</v>
      </c>
      <c r="C299" s="1" t="s">
        <v>6936</v>
      </c>
      <c r="D299" s="1" t="s">
        <v>6937</v>
      </c>
      <c r="E299" s="1" t="s">
        <v>111</v>
      </c>
      <c r="F299" s="1" t="s">
        <v>6938</v>
      </c>
      <c r="G299" s="1" t="s">
        <v>6939</v>
      </c>
      <c r="H299" s="1" t="s">
        <v>6940</v>
      </c>
      <c r="I299" s="2">
        <v>2024</v>
      </c>
      <c r="J299" s="1" t="s">
        <v>6941</v>
      </c>
      <c r="K299" s="1" t="s">
        <v>6942</v>
      </c>
      <c r="L299" s="1" t="s">
        <v>6943</v>
      </c>
      <c r="M299" s="1">
        <v>74</v>
      </c>
      <c r="N299" s="1">
        <v>0</v>
      </c>
      <c r="O299" s="1">
        <v>3</v>
      </c>
      <c r="P299" s="1">
        <v>3</v>
      </c>
      <c r="Q299" s="1" t="s">
        <v>2360</v>
      </c>
      <c r="R299" s="1" t="s">
        <v>2361</v>
      </c>
      <c r="S299" s="1" t="s">
        <v>2362</v>
      </c>
      <c r="T299" s="1" t="s">
        <v>6944</v>
      </c>
      <c r="U299" s="1" t="s">
        <v>6945</v>
      </c>
      <c r="V299" s="1" t="s">
        <v>48</v>
      </c>
      <c r="W299" s="1" t="s">
        <v>48</v>
      </c>
      <c r="X299" s="1" t="s">
        <v>6946</v>
      </c>
      <c r="Y299" s="1" t="str">
        <f>HYPERLINK("http://dx.doi.org/10.2174/0115734099309926241007055607","http://dx.doi.org/10.2174/0115734099309926241007055607")</f>
        <v>http://dx.doi.org/10.2174/0115734099309926241007055607</v>
      </c>
      <c r="Z299" s="1">
        <v>17</v>
      </c>
      <c r="AA299" s="1" t="s">
        <v>6947</v>
      </c>
      <c r="AB299" s="1" t="s">
        <v>67</v>
      </c>
      <c r="AC299" s="1" t="s">
        <v>6948</v>
      </c>
      <c r="AD299" s="1">
        <v>39415588</v>
      </c>
      <c r="AE299" s="1" t="s">
        <v>48</v>
      </c>
    </row>
    <row r="300" spans="1:31" s="1" customFormat="1" ht="18.5" x14ac:dyDescent="0.45">
      <c r="A300" s="1" t="s">
        <v>6949</v>
      </c>
      <c r="B300" s="1" t="s">
        <v>6950</v>
      </c>
      <c r="C300" s="1" t="s">
        <v>6951</v>
      </c>
      <c r="D300" s="1" t="s">
        <v>2604</v>
      </c>
      <c r="E300" s="1" t="s">
        <v>53</v>
      </c>
      <c r="F300" s="1" t="s">
        <v>48</v>
      </c>
      <c r="G300" s="1" t="s">
        <v>6952</v>
      </c>
      <c r="H300" s="1" t="s">
        <v>6953</v>
      </c>
      <c r="I300" s="2">
        <v>2024</v>
      </c>
      <c r="J300" s="1" t="s">
        <v>6954</v>
      </c>
      <c r="K300" s="1" t="s">
        <v>6955</v>
      </c>
      <c r="L300" s="1" t="s">
        <v>6956</v>
      </c>
      <c r="M300" s="1">
        <v>64</v>
      </c>
      <c r="N300" s="1">
        <v>6</v>
      </c>
      <c r="O300" s="1">
        <v>6</v>
      </c>
      <c r="P300" s="1">
        <v>11</v>
      </c>
      <c r="Q300" s="1" t="s">
        <v>2607</v>
      </c>
      <c r="R300" s="1" t="s">
        <v>361</v>
      </c>
      <c r="S300" s="1" t="s">
        <v>2608</v>
      </c>
      <c r="T300" s="1" t="s">
        <v>2609</v>
      </c>
      <c r="U300" s="1" t="s">
        <v>2610</v>
      </c>
      <c r="V300" s="1">
        <v>48</v>
      </c>
      <c r="W300" s="1">
        <v>11</v>
      </c>
      <c r="X300" s="1" t="s">
        <v>6957</v>
      </c>
      <c r="Y300" s="1" t="str">
        <f>HYPERLINK("http://dx.doi.org/10.1039/d3nj05089k","http://dx.doi.org/10.1039/d3nj05089k")</f>
        <v>http://dx.doi.org/10.1039/d3nj05089k</v>
      </c>
      <c r="Z300" s="1">
        <v>10</v>
      </c>
      <c r="AA300" s="1" t="s">
        <v>2292</v>
      </c>
      <c r="AB300" s="1" t="s">
        <v>67</v>
      </c>
      <c r="AC300" s="1" t="s">
        <v>2293</v>
      </c>
      <c r="AD300" s="1" t="s">
        <v>48</v>
      </c>
      <c r="AE300" s="1" t="s">
        <v>48</v>
      </c>
    </row>
    <row r="301" spans="1:31" s="1" customFormat="1" ht="18.5" x14ac:dyDescent="0.45">
      <c r="A301" s="1" t="s">
        <v>6964</v>
      </c>
      <c r="B301" s="1" t="s">
        <v>6965</v>
      </c>
      <c r="C301" s="1" t="s">
        <v>6966</v>
      </c>
      <c r="D301" s="1" t="s">
        <v>6967</v>
      </c>
      <c r="E301" s="1" t="s">
        <v>53</v>
      </c>
      <c r="F301" s="1" t="s">
        <v>6968</v>
      </c>
      <c r="G301" s="1" t="s">
        <v>6969</v>
      </c>
      <c r="H301" s="1" t="s">
        <v>6970</v>
      </c>
      <c r="I301" s="2">
        <v>2024</v>
      </c>
      <c r="J301" s="1" t="s">
        <v>6971</v>
      </c>
      <c r="K301" s="1" t="s">
        <v>6972</v>
      </c>
      <c r="L301" s="1" t="s">
        <v>6973</v>
      </c>
      <c r="M301" s="1">
        <v>56</v>
      </c>
      <c r="N301" s="1">
        <v>2</v>
      </c>
      <c r="O301" s="1">
        <v>0</v>
      </c>
      <c r="P301" s="1">
        <v>0</v>
      </c>
      <c r="Q301" s="1" t="s">
        <v>79</v>
      </c>
      <c r="R301" s="1" t="s">
        <v>80</v>
      </c>
      <c r="S301" s="1" t="s">
        <v>81</v>
      </c>
      <c r="T301" s="1" t="s">
        <v>6974</v>
      </c>
      <c r="U301" s="1" t="s">
        <v>6975</v>
      </c>
      <c r="V301" s="1">
        <v>258</v>
      </c>
      <c r="W301" s="1" t="s">
        <v>48</v>
      </c>
      <c r="X301" s="1" t="s">
        <v>6976</v>
      </c>
      <c r="Y301" s="1" t="str">
        <f>HYPERLINK("http://dx.doi.org/10.1016/j.actatropica.2024.107356","http://dx.doi.org/10.1016/j.actatropica.2024.107356")</f>
        <v>http://dx.doi.org/10.1016/j.actatropica.2024.107356</v>
      </c>
      <c r="Z301" s="1">
        <v>8</v>
      </c>
      <c r="AA301" s="1" t="s">
        <v>6977</v>
      </c>
      <c r="AB301" s="1" t="s">
        <v>67</v>
      </c>
      <c r="AC301" s="1" t="s">
        <v>6977</v>
      </c>
      <c r="AD301" s="1">
        <v>39128617</v>
      </c>
      <c r="AE301" s="1" t="s">
        <v>48</v>
      </c>
    </row>
    <row r="302" spans="1:31" s="1" customFormat="1" ht="18.5" x14ac:dyDescent="0.45">
      <c r="A302" s="1" t="s">
        <v>7022</v>
      </c>
      <c r="B302" s="1" t="s">
        <v>7023</v>
      </c>
      <c r="C302" s="1" t="s">
        <v>7024</v>
      </c>
      <c r="D302" s="1" t="s">
        <v>209</v>
      </c>
      <c r="E302" s="1" t="s">
        <v>53</v>
      </c>
      <c r="F302" s="1" t="s">
        <v>7025</v>
      </c>
      <c r="G302" s="1" t="s">
        <v>7026</v>
      </c>
      <c r="H302" s="1" t="s">
        <v>7027</v>
      </c>
      <c r="I302" s="2">
        <v>2024</v>
      </c>
      <c r="J302" s="1" t="s">
        <v>7028</v>
      </c>
      <c r="K302" s="1" t="s">
        <v>7029</v>
      </c>
      <c r="L302" s="1" t="s">
        <v>7030</v>
      </c>
      <c r="M302" s="1">
        <v>36</v>
      </c>
      <c r="N302" s="1">
        <v>2</v>
      </c>
      <c r="O302" s="1">
        <v>7</v>
      </c>
      <c r="P302" s="1">
        <v>12</v>
      </c>
      <c r="Q302" s="1" t="s">
        <v>215</v>
      </c>
      <c r="R302" s="1" t="s">
        <v>158</v>
      </c>
      <c r="S302" s="1" t="s">
        <v>216</v>
      </c>
      <c r="T302" s="1" t="s">
        <v>217</v>
      </c>
      <c r="U302" s="1" t="s">
        <v>218</v>
      </c>
      <c r="V302" s="1">
        <v>252</v>
      </c>
      <c r="W302" s="1" t="s">
        <v>48</v>
      </c>
      <c r="X302" s="1" t="s">
        <v>7031</v>
      </c>
      <c r="Y302" s="1" t="str">
        <f>HYPERLINK("http://dx.doi.org/10.1016/j.eswa.2024.124136","http://dx.doi.org/10.1016/j.eswa.2024.124136")</f>
        <v>http://dx.doi.org/10.1016/j.eswa.2024.124136</v>
      </c>
      <c r="Z302" s="1">
        <v>19</v>
      </c>
      <c r="AA302" s="1" t="s">
        <v>221</v>
      </c>
      <c r="AB302" s="1" t="s">
        <v>67</v>
      </c>
      <c r="AC302" s="1" t="s">
        <v>222</v>
      </c>
      <c r="AD302" s="1" t="s">
        <v>48</v>
      </c>
      <c r="AE302" s="1" t="s">
        <v>1696</v>
      </c>
    </row>
    <row r="303" spans="1:31" s="1" customFormat="1" ht="18.5" x14ac:dyDescent="0.45">
      <c r="A303" s="1" t="s">
        <v>7090</v>
      </c>
      <c r="B303" s="1" t="s">
        <v>7091</v>
      </c>
      <c r="C303" s="1" t="s">
        <v>7092</v>
      </c>
      <c r="D303" s="1" t="s">
        <v>7093</v>
      </c>
      <c r="E303" s="1" t="s">
        <v>111</v>
      </c>
      <c r="F303" s="1" t="s">
        <v>7094</v>
      </c>
      <c r="G303" s="1" t="s">
        <v>7095</v>
      </c>
      <c r="H303" s="1" t="s">
        <v>7096</v>
      </c>
      <c r="I303" s="2">
        <v>2024</v>
      </c>
      <c r="J303" s="1" t="s">
        <v>7097</v>
      </c>
      <c r="K303" s="1" t="s">
        <v>7098</v>
      </c>
      <c r="L303" s="1" t="s">
        <v>7099</v>
      </c>
      <c r="M303" s="1">
        <v>26</v>
      </c>
      <c r="N303" s="1">
        <v>0</v>
      </c>
      <c r="O303" s="1">
        <v>0</v>
      </c>
      <c r="P303" s="1">
        <v>0</v>
      </c>
      <c r="Q303" s="1" t="s">
        <v>198</v>
      </c>
      <c r="R303" s="1" t="s">
        <v>146</v>
      </c>
      <c r="S303" s="1" t="s">
        <v>199</v>
      </c>
      <c r="T303" s="1" t="s">
        <v>7100</v>
      </c>
      <c r="U303" s="1" t="s">
        <v>7101</v>
      </c>
      <c r="V303" s="1" t="s">
        <v>48</v>
      </c>
      <c r="W303" s="1" t="s">
        <v>48</v>
      </c>
      <c r="X303" s="1" t="s">
        <v>7104</v>
      </c>
      <c r="Y303" s="1" t="str">
        <f>HYPERLINK("http://dx.doi.org/10.1080/14786419.2024.2430323","http://dx.doi.org/10.1080/14786419.2024.2430323")</f>
        <v>http://dx.doi.org/10.1080/14786419.2024.2430323</v>
      </c>
      <c r="Z303" s="1">
        <v>10</v>
      </c>
      <c r="AA303" s="1" t="s">
        <v>7105</v>
      </c>
      <c r="AB303" s="1" t="s">
        <v>67</v>
      </c>
      <c r="AC303" s="1" t="s">
        <v>7106</v>
      </c>
      <c r="AD303" s="1">
        <v>39576098</v>
      </c>
      <c r="AE303" s="1" t="s">
        <v>48</v>
      </c>
    </row>
    <row r="304" spans="1:31" s="1" customFormat="1" ht="18.5" x14ac:dyDescent="0.45">
      <c r="A304" s="1" t="s">
        <v>7107</v>
      </c>
      <c r="B304" s="1" t="s">
        <v>7108</v>
      </c>
      <c r="C304" s="1" t="s">
        <v>7109</v>
      </c>
      <c r="D304" s="1" t="s">
        <v>1520</v>
      </c>
      <c r="E304" s="1" t="s">
        <v>111</v>
      </c>
      <c r="F304" s="1" t="s">
        <v>7110</v>
      </c>
      <c r="G304" s="1" t="s">
        <v>7111</v>
      </c>
      <c r="H304" s="1" t="s">
        <v>7112</v>
      </c>
      <c r="I304" s="2">
        <v>2024</v>
      </c>
      <c r="J304" s="1" t="s">
        <v>7113</v>
      </c>
      <c r="K304" s="1" t="s">
        <v>7114</v>
      </c>
      <c r="L304" s="1" t="s">
        <v>7115</v>
      </c>
      <c r="M304" s="1">
        <v>64</v>
      </c>
      <c r="N304" s="1">
        <v>0</v>
      </c>
      <c r="O304" s="1">
        <v>2</v>
      </c>
      <c r="P304" s="1">
        <v>2</v>
      </c>
      <c r="Q304" s="1" t="s">
        <v>1523</v>
      </c>
      <c r="R304" s="1" t="s">
        <v>632</v>
      </c>
      <c r="S304" s="1" t="s">
        <v>1524</v>
      </c>
      <c r="T304" s="1" t="s">
        <v>1525</v>
      </c>
      <c r="U304" s="1" t="s">
        <v>1526</v>
      </c>
      <c r="V304" s="1" t="s">
        <v>48</v>
      </c>
      <c r="W304" s="1" t="s">
        <v>48</v>
      </c>
      <c r="X304" s="1" t="s">
        <v>7116</v>
      </c>
      <c r="Y304" s="1" t="str">
        <f>HYPERLINK("http://dx.doi.org/10.1007/s43393-024-00314-3","http://dx.doi.org/10.1007/s43393-024-00314-3")</f>
        <v>http://dx.doi.org/10.1007/s43393-024-00314-3</v>
      </c>
      <c r="Z304" s="1">
        <v>18</v>
      </c>
      <c r="AA304" s="1" t="s">
        <v>1528</v>
      </c>
      <c r="AB304" s="1" t="s">
        <v>124</v>
      </c>
      <c r="AC304" s="1" t="s">
        <v>1528</v>
      </c>
      <c r="AD304" s="1" t="s">
        <v>48</v>
      </c>
      <c r="AE304" s="1" t="s">
        <v>48</v>
      </c>
    </row>
    <row r="305" spans="1:31" s="1" customFormat="1" ht="18.5" x14ac:dyDescent="0.45">
      <c r="A305" s="1" t="s">
        <v>7117</v>
      </c>
      <c r="B305" s="1" t="s">
        <v>7118</v>
      </c>
      <c r="C305" s="1" t="s">
        <v>7119</v>
      </c>
      <c r="D305" s="1" t="s">
        <v>7120</v>
      </c>
      <c r="E305" s="1" t="s">
        <v>53</v>
      </c>
      <c r="F305" s="1" t="s">
        <v>7121</v>
      </c>
      <c r="G305" s="1" t="s">
        <v>7122</v>
      </c>
      <c r="H305" s="1" t="s">
        <v>7123</v>
      </c>
      <c r="I305" s="2">
        <v>2024</v>
      </c>
      <c r="J305" s="1" t="s">
        <v>7124</v>
      </c>
      <c r="K305" s="1" t="s">
        <v>7125</v>
      </c>
      <c r="L305" s="1" t="s">
        <v>7126</v>
      </c>
      <c r="M305" s="1">
        <v>70</v>
      </c>
      <c r="N305" s="1">
        <v>0</v>
      </c>
      <c r="O305" s="1">
        <v>1</v>
      </c>
      <c r="P305" s="1">
        <v>1</v>
      </c>
      <c r="Q305" s="1" t="s">
        <v>3024</v>
      </c>
      <c r="R305" s="1" t="s">
        <v>422</v>
      </c>
      <c r="S305" s="1" t="s">
        <v>3025</v>
      </c>
      <c r="T305" s="1" t="s">
        <v>7127</v>
      </c>
      <c r="U305" s="1" t="s">
        <v>7128</v>
      </c>
      <c r="V305" s="1">
        <v>325</v>
      </c>
      <c r="W305" s="1" t="s">
        <v>48</v>
      </c>
      <c r="X305" s="1" t="s">
        <v>7129</v>
      </c>
      <c r="Y305" s="1" t="str">
        <f>HYPERLINK("http://dx.doi.org/10.1016/j.matchemphys.2024.129794","http://dx.doi.org/10.1016/j.matchemphys.2024.129794")</f>
        <v>http://dx.doi.org/10.1016/j.matchemphys.2024.129794</v>
      </c>
      <c r="Z305" s="1">
        <v>12</v>
      </c>
      <c r="AA305" s="1" t="s">
        <v>1876</v>
      </c>
      <c r="AB305" s="1" t="s">
        <v>67</v>
      </c>
      <c r="AC305" s="1" t="s">
        <v>1877</v>
      </c>
      <c r="AD305" s="1" t="s">
        <v>48</v>
      </c>
      <c r="AE305" s="1" t="s">
        <v>48</v>
      </c>
    </row>
    <row r="306" spans="1:31" s="1" customFormat="1" ht="18.5" x14ac:dyDescent="0.45">
      <c r="A306" s="1" t="s">
        <v>7130</v>
      </c>
      <c r="B306" s="1" t="s">
        <v>7131</v>
      </c>
      <c r="C306" s="1" t="s">
        <v>7132</v>
      </c>
      <c r="D306" s="1" t="s">
        <v>2702</v>
      </c>
      <c r="E306" s="1" t="s">
        <v>1114</v>
      </c>
      <c r="F306" s="1" t="s">
        <v>48</v>
      </c>
      <c r="G306" s="1" t="s">
        <v>7133</v>
      </c>
      <c r="H306" s="1" t="s">
        <v>7134</v>
      </c>
      <c r="I306" s="2">
        <v>2024</v>
      </c>
      <c r="J306" s="1" t="s">
        <v>7135</v>
      </c>
      <c r="K306" s="1" t="s">
        <v>7136</v>
      </c>
      <c r="L306" s="1" t="s">
        <v>7137</v>
      </c>
      <c r="M306" s="1">
        <v>42</v>
      </c>
      <c r="N306" s="1">
        <v>1</v>
      </c>
      <c r="O306" s="1">
        <v>5</v>
      </c>
      <c r="P306" s="1">
        <v>8</v>
      </c>
      <c r="Q306" s="1" t="s">
        <v>1183</v>
      </c>
      <c r="R306" s="1" t="s">
        <v>1184</v>
      </c>
      <c r="S306" s="1" t="s">
        <v>1185</v>
      </c>
      <c r="T306" s="1" t="s">
        <v>2707</v>
      </c>
      <c r="U306" s="1" t="s">
        <v>48</v>
      </c>
      <c r="V306" s="1">
        <v>9</v>
      </c>
      <c r="W306" s="1">
        <v>30</v>
      </c>
      <c r="X306" s="1" t="s">
        <v>7139</v>
      </c>
      <c r="Y306" s="1" t="str">
        <f>HYPERLINK("http://dx.doi.org/10.1021/acsomega.4c02808","http://dx.doi.org/10.1021/acsomega.4c02808")</f>
        <v>http://dx.doi.org/10.1021/acsomega.4c02808</v>
      </c>
      <c r="Z306" s="1">
        <v>41</v>
      </c>
      <c r="AA306" s="1" t="s">
        <v>2292</v>
      </c>
      <c r="AB306" s="1" t="s">
        <v>67</v>
      </c>
      <c r="AC306" s="1" t="s">
        <v>2293</v>
      </c>
      <c r="AD306" s="1">
        <v>39100307</v>
      </c>
      <c r="AE306" s="1" t="s">
        <v>366</v>
      </c>
    </row>
    <row r="307" spans="1:31" s="1" customFormat="1" ht="18.5" x14ac:dyDescent="0.45">
      <c r="A307" s="1" t="s">
        <v>7140</v>
      </c>
      <c r="B307" s="1" t="s">
        <v>7141</v>
      </c>
      <c r="C307" s="1" t="s">
        <v>7142</v>
      </c>
      <c r="D307" s="1" t="s">
        <v>209</v>
      </c>
      <c r="E307" s="1" t="s">
        <v>53</v>
      </c>
      <c r="F307" s="1" t="s">
        <v>7143</v>
      </c>
      <c r="G307" s="1" t="s">
        <v>7144</v>
      </c>
      <c r="H307" s="1" t="s">
        <v>7145</v>
      </c>
      <c r="I307" s="2">
        <v>2024</v>
      </c>
      <c r="J307" s="1" t="s">
        <v>7146</v>
      </c>
      <c r="K307" s="1" t="s">
        <v>7147</v>
      </c>
      <c r="L307" s="1" t="s">
        <v>1379</v>
      </c>
      <c r="M307" s="1">
        <v>57</v>
      </c>
      <c r="N307" s="1">
        <v>16</v>
      </c>
      <c r="O307" s="1">
        <v>6</v>
      </c>
      <c r="P307" s="1">
        <v>30</v>
      </c>
      <c r="Q307" s="1" t="s">
        <v>215</v>
      </c>
      <c r="R307" s="1" t="s">
        <v>158</v>
      </c>
      <c r="S307" s="1" t="s">
        <v>216</v>
      </c>
      <c r="T307" s="1" t="s">
        <v>217</v>
      </c>
      <c r="U307" s="1" t="s">
        <v>218</v>
      </c>
      <c r="V307" s="1">
        <v>238</v>
      </c>
      <c r="W307" s="1" t="s">
        <v>48</v>
      </c>
      <c r="X307" s="1" t="s">
        <v>7148</v>
      </c>
      <c r="Y307" s="1" t="str">
        <f>HYPERLINK("http://dx.doi.org/10.1016/j.eswa.2023.122174","http://dx.doi.org/10.1016/j.eswa.2023.122174")</f>
        <v>http://dx.doi.org/10.1016/j.eswa.2023.122174</v>
      </c>
      <c r="Z307" s="1">
        <v>17</v>
      </c>
      <c r="AA307" s="1" t="s">
        <v>221</v>
      </c>
      <c r="AB307" s="1" t="s">
        <v>67</v>
      </c>
      <c r="AC307" s="1" t="s">
        <v>222</v>
      </c>
      <c r="AD307" s="1" t="s">
        <v>48</v>
      </c>
      <c r="AE307" s="1" t="s">
        <v>48</v>
      </c>
    </row>
    <row r="308" spans="1:31" s="1" customFormat="1" ht="18.5" x14ac:dyDescent="0.45">
      <c r="A308" s="1" t="s">
        <v>7155</v>
      </c>
      <c r="B308" s="1" t="s">
        <v>7156</v>
      </c>
      <c r="C308" s="1" t="s">
        <v>7157</v>
      </c>
      <c r="D308" s="1" t="s">
        <v>6834</v>
      </c>
      <c r="E308" s="1" t="s">
        <v>53</v>
      </c>
      <c r="F308" s="1" t="s">
        <v>48</v>
      </c>
      <c r="G308" s="1" t="s">
        <v>7158</v>
      </c>
      <c r="H308" s="1" t="s">
        <v>7159</v>
      </c>
      <c r="I308" s="2">
        <v>2024</v>
      </c>
      <c r="J308" s="1" t="s">
        <v>7160</v>
      </c>
      <c r="K308" s="1" t="s">
        <v>7161</v>
      </c>
      <c r="L308" s="1" t="s">
        <v>7162</v>
      </c>
      <c r="M308" s="1">
        <v>40</v>
      </c>
      <c r="N308" s="1">
        <v>0</v>
      </c>
      <c r="O308" s="1">
        <v>2</v>
      </c>
      <c r="P308" s="1">
        <v>2</v>
      </c>
      <c r="Q308" s="1" t="s">
        <v>1183</v>
      </c>
      <c r="R308" s="1" t="s">
        <v>1184</v>
      </c>
      <c r="S308" s="1" t="s">
        <v>1185</v>
      </c>
      <c r="T308" s="1" t="s">
        <v>6840</v>
      </c>
      <c r="U308" s="1" t="s">
        <v>6841</v>
      </c>
      <c r="V308" s="1">
        <v>128</v>
      </c>
      <c r="W308" s="1">
        <v>48</v>
      </c>
      <c r="X308" s="1" t="s">
        <v>7164</v>
      </c>
      <c r="Y308" s="1" t="str">
        <f>HYPERLINK("http://dx.doi.org/10.1021/acs.jpcb.4c05607","http://dx.doi.org/10.1021/acs.jpcb.4c05607")</f>
        <v>http://dx.doi.org/10.1021/acs.jpcb.4c05607</v>
      </c>
      <c r="Z308" s="1">
        <v>7</v>
      </c>
      <c r="AA308" s="1" t="s">
        <v>2899</v>
      </c>
      <c r="AB308" s="1" t="s">
        <v>67</v>
      </c>
      <c r="AC308" s="1" t="s">
        <v>2293</v>
      </c>
      <c r="AD308" s="1">
        <v>39565728</v>
      </c>
      <c r="AE308" s="1" t="s">
        <v>48</v>
      </c>
    </row>
    <row r="309" spans="1:31" s="1" customFormat="1" ht="18.5" x14ac:dyDescent="0.45">
      <c r="A309" s="1" t="s">
        <v>7176</v>
      </c>
      <c r="B309" s="1" t="s">
        <v>7177</v>
      </c>
      <c r="C309" s="1" t="s">
        <v>7178</v>
      </c>
      <c r="D309" s="1" t="s">
        <v>6530</v>
      </c>
      <c r="E309" s="1" t="s">
        <v>53</v>
      </c>
      <c r="F309" s="1" t="s">
        <v>7179</v>
      </c>
      <c r="G309" s="1" t="s">
        <v>7180</v>
      </c>
      <c r="H309" s="1" t="s">
        <v>7181</v>
      </c>
      <c r="I309" s="2">
        <v>2024</v>
      </c>
      <c r="J309" s="1" t="s">
        <v>7182</v>
      </c>
      <c r="K309" s="1" t="s">
        <v>7174</v>
      </c>
      <c r="L309" s="1" t="s">
        <v>6956</v>
      </c>
      <c r="M309" s="1">
        <v>62</v>
      </c>
      <c r="N309" s="1">
        <v>3</v>
      </c>
      <c r="O309" s="1">
        <v>2</v>
      </c>
      <c r="P309" s="1">
        <v>5</v>
      </c>
      <c r="Q309" s="1" t="s">
        <v>3024</v>
      </c>
      <c r="R309" s="1" t="s">
        <v>422</v>
      </c>
      <c r="S309" s="1" t="s">
        <v>3025</v>
      </c>
      <c r="T309" s="1" t="s">
        <v>6532</v>
      </c>
      <c r="U309" s="1" t="s">
        <v>6533</v>
      </c>
      <c r="V309" s="1">
        <v>565</v>
      </c>
      <c r="W309" s="1" t="s">
        <v>48</v>
      </c>
      <c r="X309" s="1" t="s">
        <v>7183</v>
      </c>
      <c r="Y309" s="1" t="str">
        <f>HYPERLINK("http://dx.doi.org/10.1016/j.ica.2024.121962","http://dx.doi.org/10.1016/j.ica.2024.121962")</f>
        <v>http://dx.doi.org/10.1016/j.ica.2024.121962</v>
      </c>
      <c r="Z309" s="1">
        <v>7</v>
      </c>
      <c r="AA309" s="1" t="s">
        <v>4434</v>
      </c>
      <c r="AB309" s="1" t="s">
        <v>67</v>
      </c>
      <c r="AC309" s="1" t="s">
        <v>2293</v>
      </c>
      <c r="AD309" s="1" t="s">
        <v>48</v>
      </c>
      <c r="AE309" s="1" t="s">
        <v>48</v>
      </c>
    </row>
    <row r="310" spans="1:31" s="1" customFormat="1" ht="18.5" x14ac:dyDescent="0.45">
      <c r="A310" s="1" t="s">
        <v>7195</v>
      </c>
      <c r="B310" s="1" t="s">
        <v>7196</v>
      </c>
      <c r="C310" s="1" t="s">
        <v>7197</v>
      </c>
      <c r="D310" s="1" t="s">
        <v>296</v>
      </c>
      <c r="E310" s="1" t="s">
        <v>53</v>
      </c>
      <c r="F310" s="1" t="s">
        <v>7198</v>
      </c>
      <c r="G310" s="1" t="s">
        <v>7199</v>
      </c>
      <c r="H310" s="1" t="s">
        <v>7200</v>
      </c>
      <c r="I310" s="2">
        <v>2024</v>
      </c>
      <c r="J310" s="1" t="s">
        <v>7201</v>
      </c>
      <c r="K310" s="1" t="s">
        <v>7202</v>
      </c>
      <c r="L310" s="1" t="s">
        <v>227</v>
      </c>
      <c r="M310" s="1">
        <v>43</v>
      </c>
      <c r="N310" s="1">
        <v>5</v>
      </c>
      <c r="O310" s="1">
        <v>5</v>
      </c>
      <c r="P310" s="1">
        <v>6</v>
      </c>
      <c r="Q310" s="1" t="s">
        <v>198</v>
      </c>
      <c r="R310" s="1" t="s">
        <v>146</v>
      </c>
      <c r="S310" s="1" t="s">
        <v>199</v>
      </c>
      <c r="T310" s="1" t="s">
        <v>299</v>
      </c>
      <c r="U310" s="1" t="s">
        <v>300</v>
      </c>
      <c r="V310" s="1">
        <v>11</v>
      </c>
      <c r="W310" s="1">
        <v>1</v>
      </c>
      <c r="X310" s="1" t="s">
        <v>7203</v>
      </c>
      <c r="Y310" s="1" t="str">
        <f>HYPERLINK("http://dx.doi.org/10.1080/23302674.2024.2379540","http://dx.doi.org/10.1080/23302674.2024.2379540")</f>
        <v>http://dx.doi.org/10.1080/23302674.2024.2379540</v>
      </c>
      <c r="Z310" s="1">
        <v>22</v>
      </c>
      <c r="AA310" s="1" t="s">
        <v>305</v>
      </c>
      <c r="AB310" s="1" t="s">
        <v>67</v>
      </c>
      <c r="AC310" s="1" t="s">
        <v>306</v>
      </c>
      <c r="AD310" s="1" t="s">
        <v>48</v>
      </c>
      <c r="AE310" s="1" t="s">
        <v>48</v>
      </c>
    </row>
    <row r="311" spans="1:31" s="1" customFormat="1" ht="18.5" x14ac:dyDescent="0.45">
      <c r="A311" s="1" t="s">
        <v>7204</v>
      </c>
      <c r="B311" s="1" t="s">
        <v>7205</v>
      </c>
      <c r="C311" s="1" t="s">
        <v>7206</v>
      </c>
      <c r="D311" s="1" t="s">
        <v>2702</v>
      </c>
      <c r="E311" s="1" t="s">
        <v>53</v>
      </c>
      <c r="F311" s="1" t="s">
        <v>48</v>
      </c>
      <c r="G311" s="1" t="s">
        <v>7207</v>
      </c>
      <c r="H311" s="1" t="s">
        <v>7208</v>
      </c>
      <c r="I311" s="2">
        <v>2024</v>
      </c>
      <c r="J311" s="1" t="s">
        <v>7209</v>
      </c>
      <c r="K311" s="1" t="s">
        <v>7210</v>
      </c>
      <c r="L311" s="1" t="s">
        <v>7211</v>
      </c>
      <c r="M311" s="1">
        <v>45</v>
      </c>
      <c r="N311" s="1">
        <v>0</v>
      </c>
      <c r="O311" s="1">
        <v>1</v>
      </c>
      <c r="P311" s="1">
        <v>1</v>
      </c>
      <c r="Q311" s="1" t="s">
        <v>1183</v>
      </c>
      <c r="R311" s="1" t="s">
        <v>1184</v>
      </c>
      <c r="S311" s="1" t="s">
        <v>1185</v>
      </c>
      <c r="T311" s="1" t="s">
        <v>2707</v>
      </c>
      <c r="U311" s="1" t="s">
        <v>48</v>
      </c>
      <c r="V311" s="1">
        <v>9</v>
      </c>
      <c r="W311" s="1">
        <v>49</v>
      </c>
      <c r="X311" s="1" t="s">
        <v>7212</v>
      </c>
      <c r="Y311" s="1" t="str">
        <f>HYPERLINK("http://dx.doi.org/10.1021/acsomega.4c05824","http://dx.doi.org/10.1021/acsomega.4c05824")</f>
        <v>http://dx.doi.org/10.1021/acsomega.4c05824</v>
      </c>
      <c r="Z311" s="1">
        <v>12</v>
      </c>
      <c r="AA311" s="1" t="s">
        <v>2292</v>
      </c>
      <c r="AB311" s="1" t="s">
        <v>67</v>
      </c>
      <c r="AC311" s="1" t="s">
        <v>2293</v>
      </c>
      <c r="AD311" s="1">
        <v>39676998</v>
      </c>
      <c r="AE311" s="1" t="s">
        <v>1325</v>
      </c>
    </row>
    <row r="312" spans="1:31" s="1" customFormat="1" ht="18.5" x14ac:dyDescent="0.45">
      <c r="A312" s="1" t="s">
        <v>7241</v>
      </c>
      <c r="B312" s="1" t="s">
        <v>7242</v>
      </c>
      <c r="C312" s="1" t="s">
        <v>7243</v>
      </c>
      <c r="D312" s="1" t="s">
        <v>538</v>
      </c>
      <c r="E312" s="1" t="s">
        <v>53</v>
      </c>
      <c r="F312" s="1" t="s">
        <v>7244</v>
      </c>
      <c r="G312" s="1" t="s">
        <v>7245</v>
      </c>
      <c r="H312" s="1" t="s">
        <v>7246</v>
      </c>
      <c r="I312" s="2">
        <v>2024</v>
      </c>
      <c r="J312" s="1" t="s">
        <v>7247</v>
      </c>
      <c r="K312" s="1" t="s">
        <v>7248</v>
      </c>
      <c r="L312" s="1" t="s">
        <v>688</v>
      </c>
      <c r="M312" s="1">
        <v>73</v>
      </c>
      <c r="N312" s="1">
        <v>2</v>
      </c>
      <c r="O312" s="1">
        <v>3</v>
      </c>
      <c r="P312" s="1">
        <v>3</v>
      </c>
      <c r="Q312" s="1" t="s">
        <v>503</v>
      </c>
      <c r="R312" s="1" t="s">
        <v>542</v>
      </c>
      <c r="S312" s="1" t="s">
        <v>543</v>
      </c>
      <c r="T312" s="1" t="s">
        <v>544</v>
      </c>
      <c r="U312" s="1" t="s">
        <v>545</v>
      </c>
      <c r="V312" s="1">
        <v>58</v>
      </c>
      <c r="W312" s="1">
        <v>1</v>
      </c>
      <c r="X312" s="1" t="s">
        <v>7249</v>
      </c>
      <c r="Y312" s="1" t="str">
        <f>HYPERLINK("http://dx.doi.org/10.1007/s10462-024-10980-3","http://dx.doi.org/10.1007/s10462-024-10980-3")</f>
        <v>http://dx.doi.org/10.1007/s10462-024-10980-3</v>
      </c>
      <c r="Z312" s="1">
        <v>45</v>
      </c>
      <c r="AA312" s="1" t="s">
        <v>549</v>
      </c>
      <c r="AB312" s="1" t="s">
        <v>67</v>
      </c>
      <c r="AC312" s="1" t="s">
        <v>292</v>
      </c>
      <c r="AD312" s="1" t="s">
        <v>48</v>
      </c>
      <c r="AE312" s="1" t="s">
        <v>1696</v>
      </c>
    </row>
    <row r="313" spans="1:31" s="1" customFormat="1" ht="18.5" x14ac:dyDescent="0.45">
      <c r="A313" s="1" t="s">
        <v>7307</v>
      </c>
      <c r="B313" s="1" t="s">
        <v>7308</v>
      </c>
      <c r="C313" s="1" t="s">
        <v>7309</v>
      </c>
      <c r="D313" s="1" t="s">
        <v>209</v>
      </c>
      <c r="E313" s="1" t="s">
        <v>53</v>
      </c>
      <c r="F313" s="1" t="s">
        <v>7310</v>
      </c>
      <c r="G313" s="1" t="s">
        <v>7311</v>
      </c>
      <c r="H313" s="1" t="s">
        <v>7312</v>
      </c>
      <c r="I313" s="2">
        <v>2024</v>
      </c>
      <c r="J313" s="1" t="s">
        <v>7313</v>
      </c>
      <c r="K313" s="1" t="s">
        <v>7314</v>
      </c>
      <c r="L313" s="1" t="s">
        <v>1379</v>
      </c>
      <c r="M313" s="1">
        <v>51</v>
      </c>
      <c r="N313" s="1">
        <v>8</v>
      </c>
      <c r="O313" s="1">
        <v>13</v>
      </c>
      <c r="P313" s="1">
        <v>24</v>
      </c>
      <c r="Q313" s="1" t="s">
        <v>215</v>
      </c>
      <c r="R313" s="1" t="s">
        <v>158</v>
      </c>
      <c r="S313" s="1" t="s">
        <v>216</v>
      </c>
      <c r="T313" s="1" t="s">
        <v>217</v>
      </c>
      <c r="U313" s="1" t="s">
        <v>218</v>
      </c>
      <c r="V313" s="1">
        <v>250</v>
      </c>
      <c r="W313" s="1" t="s">
        <v>48</v>
      </c>
      <c r="X313" s="1" t="s">
        <v>7315</v>
      </c>
      <c r="Y313" s="1" t="str">
        <f>HYPERLINK("http://dx.doi.org/10.1016/j.eswa.2024.123889","http://dx.doi.org/10.1016/j.eswa.2024.123889")</f>
        <v>http://dx.doi.org/10.1016/j.eswa.2024.123889</v>
      </c>
      <c r="Z313" s="1">
        <v>17</v>
      </c>
      <c r="AA313" s="1" t="s">
        <v>221</v>
      </c>
      <c r="AB313" s="1" t="s">
        <v>67</v>
      </c>
      <c r="AC313" s="1" t="s">
        <v>222</v>
      </c>
      <c r="AD313" s="1" t="s">
        <v>48</v>
      </c>
      <c r="AE313" s="1" t="s">
        <v>48</v>
      </c>
    </row>
    <row r="314" spans="1:31" s="1" customFormat="1" ht="18.5" x14ac:dyDescent="0.45">
      <c r="A314" s="1" t="s">
        <v>7316</v>
      </c>
      <c r="B314" s="1" t="s">
        <v>7317</v>
      </c>
      <c r="C314" s="1" t="s">
        <v>7318</v>
      </c>
      <c r="D314" s="1" t="s">
        <v>308</v>
      </c>
      <c r="E314" s="1" t="s">
        <v>53</v>
      </c>
      <c r="F314" s="1" t="s">
        <v>48</v>
      </c>
      <c r="G314" s="1" t="s">
        <v>7319</v>
      </c>
      <c r="H314" s="1" t="s">
        <v>7320</v>
      </c>
      <c r="I314" s="2">
        <v>2024</v>
      </c>
      <c r="J314" s="1" t="s">
        <v>7321</v>
      </c>
      <c r="K314" s="1" t="s">
        <v>7322</v>
      </c>
      <c r="L314" s="1" t="s">
        <v>3564</v>
      </c>
      <c r="M314" s="1">
        <v>31</v>
      </c>
      <c r="N314" s="1">
        <v>4</v>
      </c>
      <c r="O314" s="1">
        <v>2</v>
      </c>
      <c r="P314" s="1">
        <v>7</v>
      </c>
      <c r="Q314" s="1" t="s">
        <v>313</v>
      </c>
      <c r="R314" s="1" t="s">
        <v>314</v>
      </c>
      <c r="S314" s="1" t="s">
        <v>315</v>
      </c>
      <c r="T314" s="1" t="s">
        <v>316</v>
      </c>
      <c r="U314" s="1" t="s">
        <v>317</v>
      </c>
      <c r="V314" s="1">
        <v>20</v>
      </c>
      <c r="W314" s="1">
        <v>7</v>
      </c>
      <c r="X314" s="1" t="s">
        <v>7323</v>
      </c>
      <c r="Y314" s="1" t="str">
        <f>HYPERLINK("http://dx.doi.org/10.3934/jimo.2024007","http://dx.doi.org/10.3934/jimo.2024007")</f>
        <v>http://dx.doi.org/10.3934/jimo.2024007</v>
      </c>
      <c r="Z314" s="1">
        <v>29</v>
      </c>
      <c r="AA314" s="1" t="s">
        <v>322</v>
      </c>
      <c r="AB314" s="1" t="s">
        <v>67</v>
      </c>
      <c r="AC314" s="1" t="s">
        <v>323</v>
      </c>
      <c r="AD314" s="1" t="s">
        <v>48</v>
      </c>
      <c r="AE314" s="1" t="s">
        <v>125</v>
      </c>
    </row>
    <row r="315" spans="1:31" s="1" customFormat="1" ht="18.5" x14ac:dyDescent="0.45">
      <c r="A315" s="1" t="s">
        <v>7330</v>
      </c>
      <c r="B315" s="1" t="s">
        <v>7331</v>
      </c>
      <c r="C315" s="1" t="s">
        <v>7332</v>
      </c>
      <c r="D315" s="1" t="s">
        <v>7333</v>
      </c>
      <c r="E315" s="1" t="s">
        <v>53</v>
      </c>
      <c r="F315" s="1" t="s">
        <v>7334</v>
      </c>
      <c r="G315" s="1" t="s">
        <v>7335</v>
      </c>
      <c r="H315" s="1" t="s">
        <v>7336</v>
      </c>
      <c r="I315" s="2">
        <v>2024</v>
      </c>
      <c r="J315" s="1" t="s">
        <v>7337</v>
      </c>
      <c r="K315" s="1" t="s">
        <v>7338</v>
      </c>
      <c r="L315" s="1" t="s">
        <v>6839</v>
      </c>
      <c r="M315" s="1">
        <v>58</v>
      </c>
      <c r="N315" s="1">
        <v>0</v>
      </c>
      <c r="O315" s="1">
        <v>3</v>
      </c>
      <c r="P315" s="1">
        <v>8</v>
      </c>
      <c r="Q315" s="1" t="s">
        <v>7339</v>
      </c>
      <c r="R315" s="1" t="s">
        <v>7340</v>
      </c>
      <c r="S315" s="1" t="s">
        <v>7341</v>
      </c>
      <c r="T315" s="1" t="s">
        <v>7342</v>
      </c>
      <c r="U315" s="1" t="s">
        <v>7343</v>
      </c>
      <c r="V315" s="1">
        <v>73</v>
      </c>
      <c r="W315" s="1">
        <v>4</v>
      </c>
      <c r="X315" s="1" t="s">
        <v>7346</v>
      </c>
      <c r="Y315" s="1" t="str">
        <f>HYPERLINK("http://dx.doi.org/10.5650/jos.ess23097","http://dx.doi.org/10.5650/jos.ess23097")</f>
        <v>http://dx.doi.org/10.5650/jos.ess23097</v>
      </c>
      <c r="Z315" s="1">
        <v>16</v>
      </c>
      <c r="AA315" s="1" t="s">
        <v>7347</v>
      </c>
      <c r="AB315" s="1" t="s">
        <v>67</v>
      </c>
      <c r="AC315" s="1" t="s">
        <v>7348</v>
      </c>
      <c r="AD315" s="1">
        <v>38556288</v>
      </c>
      <c r="AE315" s="1" t="s">
        <v>366</v>
      </c>
    </row>
    <row r="316" spans="1:31" s="1" customFormat="1" ht="18.5" x14ac:dyDescent="0.45">
      <c r="A316" s="1" t="s">
        <v>7364</v>
      </c>
      <c r="B316" s="1" t="s">
        <v>7365</v>
      </c>
      <c r="C316" s="1" t="s">
        <v>7366</v>
      </c>
      <c r="D316" s="1" t="s">
        <v>7367</v>
      </c>
      <c r="E316" s="1" t="s">
        <v>53</v>
      </c>
      <c r="F316" s="1" t="s">
        <v>7368</v>
      </c>
      <c r="G316" s="1" t="s">
        <v>7369</v>
      </c>
      <c r="H316" s="1" t="s">
        <v>7370</v>
      </c>
      <c r="I316" s="2">
        <v>2024</v>
      </c>
      <c r="J316" s="1" t="s">
        <v>7371</v>
      </c>
      <c r="K316" s="1" t="s">
        <v>7372</v>
      </c>
      <c r="L316" s="1" t="s">
        <v>7373</v>
      </c>
      <c r="M316" s="1">
        <v>88</v>
      </c>
      <c r="N316" s="1">
        <v>1</v>
      </c>
      <c r="O316" s="1">
        <v>2</v>
      </c>
      <c r="P316" s="1">
        <v>9</v>
      </c>
      <c r="Q316" s="1" t="s">
        <v>347</v>
      </c>
      <c r="R316" s="1" t="s">
        <v>348</v>
      </c>
      <c r="S316" s="1" t="s">
        <v>349</v>
      </c>
      <c r="T316" s="1" t="s">
        <v>7374</v>
      </c>
      <c r="U316" s="1" t="s">
        <v>7375</v>
      </c>
      <c r="V316" s="1">
        <v>112</v>
      </c>
      <c r="W316" s="1">
        <v>9</v>
      </c>
      <c r="X316" s="1" t="s">
        <v>7376</v>
      </c>
      <c r="Y316" s="1" t="str">
        <f>HYPERLINK("http://dx.doi.org/10.1002/jbm.a.37712","http://dx.doi.org/10.1002/jbm.a.37712")</f>
        <v>http://dx.doi.org/10.1002/jbm.a.37712</v>
      </c>
      <c r="Z316" s="1">
        <v>18</v>
      </c>
      <c r="AA316" s="1" t="s">
        <v>7377</v>
      </c>
      <c r="AB316" s="1" t="s">
        <v>67</v>
      </c>
      <c r="AC316" s="1" t="s">
        <v>4912</v>
      </c>
      <c r="AD316" s="1">
        <v>38545912</v>
      </c>
      <c r="AE316" s="1" t="s">
        <v>48</v>
      </c>
    </row>
    <row r="317" spans="1:31" s="1" customFormat="1" ht="18.5" x14ac:dyDescent="0.45">
      <c r="A317" s="1" t="s">
        <v>7378</v>
      </c>
      <c r="B317" s="1" t="s">
        <v>7379</v>
      </c>
      <c r="C317" s="1" t="s">
        <v>7380</v>
      </c>
      <c r="D317" s="1" t="s">
        <v>7381</v>
      </c>
      <c r="E317" s="1" t="s">
        <v>111</v>
      </c>
      <c r="F317" s="1" t="s">
        <v>7382</v>
      </c>
      <c r="G317" s="1" t="s">
        <v>7383</v>
      </c>
      <c r="H317" s="1" t="s">
        <v>7384</v>
      </c>
      <c r="I317" s="2">
        <v>2024</v>
      </c>
      <c r="J317" s="1" t="s">
        <v>7385</v>
      </c>
      <c r="K317" s="1" t="s">
        <v>7386</v>
      </c>
      <c r="L317" s="1" t="s">
        <v>7387</v>
      </c>
      <c r="M317" s="1">
        <v>51</v>
      </c>
      <c r="N317" s="1">
        <v>0</v>
      </c>
      <c r="O317" s="1">
        <v>0</v>
      </c>
      <c r="P317" s="1">
        <v>0</v>
      </c>
      <c r="Q317" s="1" t="s">
        <v>2989</v>
      </c>
      <c r="R317" s="1" t="s">
        <v>2990</v>
      </c>
      <c r="S317" s="1" t="s">
        <v>2991</v>
      </c>
      <c r="T317" s="1" t="s">
        <v>7388</v>
      </c>
      <c r="U317" s="1" t="s">
        <v>7389</v>
      </c>
      <c r="V317" s="1" t="s">
        <v>48</v>
      </c>
      <c r="W317" s="1" t="s">
        <v>48</v>
      </c>
      <c r="X317" s="1" t="s">
        <v>7390</v>
      </c>
      <c r="Y317" s="1" t="str">
        <f>HYPERLINK("http://dx.doi.org/10.1002/cmdc.202400698","http://dx.doi.org/10.1002/cmdc.202400698")</f>
        <v>http://dx.doi.org/10.1002/cmdc.202400698</v>
      </c>
      <c r="Z317" s="1">
        <v>18</v>
      </c>
      <c r="AA317" s="1" t="s">
        <v>1323</v>
      </c>
      <c r="AB317" s="1" t="s">
        <v>67</v>
      </c>
      <c r="AC317" s="1" t="s">
        <v>1324</v>
      </c>
      <c r="AD317" s="1">
        <v>39544113</v>
      </c>
      <c r="AE317" s="1" t="s">
        <v>48</v>
      </c>
    </row>
    <row r="318" spans="1:31" s="1" customFormat="1" ht="18.5" x14ac:dyDescent="0.45">
      <c r="A318" s="1" t="s">
        <v>7405</v>
      </c>
      <c r="B318" s="1" t="s">
        <v>7406</v>
      </c>
      <c r="C318" s="1" t="s">
        <v>7407</v>
      </c>
      <c r="D318" s="1" t="s">
        <v>5972</v>
      </c>
      <c r="E318" s="1" t="s">
        <v>53</v>
      </c>
      <c r="F318" s="1" t="s">
        <v>7408</v>
      </c>
      <c r="G318" s="1" t="s">
        <v>7409</v>
      </c>
      <c r="H318" s="1" t="s">
        <v>7410</v>
      </c>
      <c r="I318" s="2">
        <v>2024</v>
      </c>
      <c r="J318" s="1" t="s">
        <v>7411</v>
      </c>
      <c r="K318" s="1" t="s">
        <v>7412</v>
      </c>
      <c r="L318" s="1" t="s">
        <v>7413</v>
      </c>
      <c r="M318" s="1">
        <v>72</v>
      </c>
      <c r="N318" s="1">
        <v>1</v>
      </c>
      <c r="O318" s="1">
        <v>7</v>
      </c>
      <c r="P318" s="1">
        <v>7</v>
      </c>
      <c r="Q318" s="1" t="s">
        <v>132</v>
      </c>
      <c r="R318" s="1" t="s">
        <v>133</v>
      </c>
      <c r="S318" s="1" t="s">
        <v>134</v>
      </c>
      <c r="T318" s="1" t="s">
        <v>48</v>
      </c>
      <c r="U318" s="1" t="s">
        <v>5975</v>
      </c>
      <c r="V318" s="1">
        <v>16</v>
      </c>
      <c r="W318" s="1">
        <v>15</v>
      </c>
      <c r="X318" s="1" t="s">
        <v>7414</v>
      </c>
      <c r="Y318" s="1" t="str">
        <f>HYPERLINK("http://dx.doi.org/10.3390/su16156569","http://dx.doi.org/10.3390/su16156569")</f>
        <v>http://dx.doi.org/10.3390/su16156569</v>
      </c>
      <c r="Z318" s="1">
        <v>20</v>
      </c>
      <c r="AA318" s="1" t="s">
        <v>5977</v>
      </c>
      <c r="AB318" s="1" t="s">
        <v>944</v>
      </c>
      <c r="AC318" s="1" t="s">
        <v>723</v>
      </c>
      <c r="AD318" s="1" t="s">
        <v>48</v>
      </c>
      <c r="AE318" s="1" t="s">
        <v>125</v>
      </c>
    </row>
    <row r="319" spans="1:31" s="1" customFormat="1" ht="18.5" x14ac:dyDescent="0.45">
      <c r="A319" s="1" t="s">
        <v>7415</v>
      </c>
      <c r="B319" s="1" t="s">
        <v>7416</v>
      </c>
      <c r="C319" s="1" t="s">
        <v>7417</v>
      </c>
      <c r="D319" s="1" t="s">
        <v>711</v>
      </c>
      <c r="E319" s="1" t="s">
        <v>111</v>
      </c>
      <c r="F319" s="1" t="s">
        <v>7418</v>
      </c>
      <c r="G319" s="1" t="s">
        <v>7419</v>
      </c>
      <c r="H319" s="1" t="s">
        <v>7420</v>
      </c>
      <c r="I319" s="2">
        <v>2024</v>
      </c>
      <c r="J319" s="1" t="s">
        <v>7421</v>
      </c>
      <c r="K319" s="1" t="s">
        <v>7422</v>
      </c>
      <c r="L319" s="1" t="s">
        <v>7423</v>
      </c>
      <c r="M319" s="1">
        <v>66</v>
      </c>
      <c r="N319" s="1">
        <v>0</v>
      </c>
      <c r="O319" s="1">
        <v>4</v>
      </c>
      <c r="P319" s="1">
        <v>4</v>
      </c>
      <c r="Q319" s="1" t="s">
        <v>503</v>
      </c>
      <c r="R319" s="1" t="s">
        <v>542</v>
      </c>
      <c r="S319" s="1" t="s">
        <v>543</v>
      </c>
      <c r="T319" s="1" t="s">
        <v>717</v>
      </c>
      <c r="U319" s="1" t="s">
        <v>718</v>
      </c>
      <c r="V319" s="1" t="s">
        <v>48</v>
      </c>
      <c r="W319" s="1" t="s">
        <v>48</v>
      </c>
      <c r="X319" s="1" t="s">
        <v>7424</v>
      </c>
      <c r="Y319" s="1" t="str">
        <f>HYPERLINK("http://dx.doi.org/10.1007/s10668-024-05520-6","http://dx.doi.org/10.1007/s10668-024-05520-6")</f>
        <v>http://dx.doi.org/10.1007/s10668-024-05520-6</v>
      </c>
      <c r="Z319" s="1">
        <v>27</v>
      </c>
      <c r="AA319" s="1" t="s">
        <v>722</v>
      </c>
      <c r="AB319" s="1" t="s">
        <v>67</v>
      </c>
      <c r="AC319" s="1" t="s">
        <v>723</v>
      </c>
      <c r="AD319" s="1" t="s">
        <v>48</v>
      </c>
      <c r="AE319" s="1" t="s">
        <v>48</v>
      </c>
    </row>
    <row r="320" spans="1:31" s="1" customFormat="1" ht="18.5" x14ac:dyDescent="0.45">
      <c r="A320" s="1" t="s">
        <v>7430</v>
      </c>
      <c r="B320" s="1" t="s">
        <v>7431</v>
      </c>
      <c r="C320" s="1" t="s">
        <v>7432</v>
      </c>
      <c r="D320" s="1" t="s">
        <v>7433</v>
      </c>
      <c r="E320" s="1" t="s">
        <v>53</v>
      </c>
      <c r="F320" s="1" t="s">
        <v>7434</v>
      </c>
      <c r="G320" s="1" t="s">
        <v>7435</v>
      </c>
      <c r="H320" s="1" t="s">
        <v>7436</v>
      </c>
      <c r="I320" s="2">
        <v>2024</v>
      </c>
      <c r="J320" s="1" t="s">
        <v>7437</v>
      </c>
      <c r="K320" s="1" t="s">
        <v>7438</v>
      </c>
      <c r="L320" s="1" t="s">
        <v>6550</v>
      </c>
      <c r="M320" s="1">
        <v>83</v>
      </c>
      <c r="N320" s="1">
        <v>3</v>
      </c>
      <c r="O320" s="1">
        <v>19</v>
      </c>
      <c r="P320" s="1">
        <v>20</v>
      </c>
      <c r="Q320" s="1" t="s">
        <v>3597</v>
      </c>
      <c r="R320" s="1" t="s">
        <v>3598</v>
      </c>
      <c r="S320" s="1" t="s">
        <v>3599</v>
      </c>
      <c r="T320" s="1" t="s">
        <v>7439</v>
      </c>
      <c r="U320" s="1" t="s">
        <v>7440</v>
      </c>
      <c r="V320" s="1">
        <v>35</v>
      </c>
      <c r="W320" s="1">
        <v>45</v>
      </c>
      <c r="X320" s="1" t="s">
        <v>7441</v>
      </c>
      <c r="Y320" s="1" t="str">
        <f>HYPERLINK("http://dx.doi.org/10.1088/1361-6528/ad6e8b","http://dx.doi.org/10.1088/1361-6528/ad6e8b")</f>
        <v>http://dx.doi.org/10.1088/1361-6528/ad6e8b</v>
      </c>
      <c r="Z320" s="1">
        <v>14</v>
      </c>
      <c r="AA320" s="1" t="s">
        <v>5775</v>
      </c>
      <c r="AB320" s="1" t="s">
        <v>67</v>
      </c>
      <c r="AC320" s="1" t="s">
        <v>5776</v>
      </c>
      <c r="AD320" s="1">
        <v>39137791</v>
      </c>
      <c r="AE320" s="1" t="s">
        <v>48</v>
      </c>
    </row>
    <row r="321" spans="1:31" s="1" customFormat="1" ht="18.5" x14ac:dyDescent="0.45">
      <c r="A321" s="1" t="s">
        <v>7442</v>
      </c>
      <c r="B321" s="1" t="s">
        <v>7443</v>
      </c>
      <c r="C321" s="1" t="s">
        <v>7444</v>
      </c>
      <c r="D321" s="1" t="s">
        <v>327</v>
      </c>
      <c r="E321" s="1" t="s">
        <v>53</v>
      </c>
      <c r="F321" s="1" t="s">
        <v>48</v>
      </c>
      <c r="G321" s="1" t="s">
        <v>7445</v>
      </c>
      <c r="H321" s="1" t="s">
        <v>7446</v>
      </c>
      <c r="I321" s="2">
        <v>2024</v>
      </c>
      <c r="J321" s="1" t="s">
        <v>7447</v>
      </c>
      <c r="K321" s="1" t="s">
        <v>7448</v>
      </c>
      <c r="L321" s="1" t="s">
        <v>7449</v>
      </c>
      <c r="M321" s="1">
        <v>41</v>
      </c>
      <c r="N321" s="1">
        <v>2</v>
      </c>
      <c r="O321" s="1">
        <v>0</v>
      </c>
      <c r="P321" s="1">
        <v>2</v>
      </c>
      <c r="Q321" s="1" t="s">
        <v>330</v>
      </c>
      <c r="R321" s="1" t="s">
        <v>331</v>
      </c>
      <c r="S321" s="1" t="s">
        <v>332</v>
      </c>
      <c r="T321" s="1" t="s">
        <v>333</v>
      </c>
      <c r="U321" s="1" t="s">
        <v>48</v>
      </c>
      <c r="V321" s="1">
        <v>19</v>
      </c>
      <c r="W321" s="1">
        <v>1</v>
      </c>
      <c r="X321" s="1" t="s">
        <v>7450</v>
      </c>
      <c r="Y321" s="1" t="str">
        <f>HYPERLINK("http://dx.doi.org/10.1371/journal.pone.0295522","http://dx.doi.org/10.1371/journal.pone.0295522")</f>
        <v>http://dx.doi.org/10.1371/journal.pone.0295522</v>
      </c>
      <c r="Z321" s="1">
        <v>19</v>
      </c>
      <c r="AA321" s="1" t="s">
        <v>335</v>
      </c>
      <c r="AB321" s="1" t="s">
        <v>67</v>
      </c>
      <c r="AC321" s="1" t="s">
        <v>336</v>
      </c>
      <c r="AD321" s="1">
        <v>38166085</v>
      </c>
      <c r="AE321" s="1" t="s">
        <v>125</v>
      </c>
    </row>
    <row r="322" spans="1:31" s="1" customFormat="1" ht="18.5" x14ac:dyDescent="0.45">
      <c r="A322" s="1" t="s">
        <v>7452</v>
      </c>
      <c r="B322" s="1" t="s">
        <v>7453</v>
      </c>
      <c r="C322" s="1" t="s">
        <v>7454</v>
      </c>
      <c r="D322" s="1" t="s">
        <v>7455</v>
      </c>
      <c r="E322" s="1" t="s">
        <v>53</v>
      </c>
      <c r="F322" s="1" t="s">
        <v>7456</v>
      </c>
      <c r="G322" s="1" t="s">
        <v>7457</v>
      </c>
      <c r="H322" s="1" t="s">
        <v>7458</v>
      </c>
      <c r="I322" s="2">
        <v>2024</v>
      </c>
      <c r="J322" s="1" t="s">
        <v>7459</v>
      </c>
      <c r="K322" s="1" t="s">
        <v>7460</v>
      </c>
      <c r="L322" s="1" t="s">
        <v>7461</v>
      </c>
      <c r="M322" s="1">
        <v>203</v>
      </c>
      <c r="N322" s="1">
        <v>0</v>
      </c>
      <c r="O322" s="1">
        <v>7</v>
      </c>
      <c r="P322" s="1">
        <v>7</v>
      </c>
      <c r="Q322" s="1" t="s">
        <v>79</v>
      </c>
      <c r="R322" s="1" t="s">
        <v>80</v>
      </c>
      <c r="S322" s="1" t="s">
        <v>81</v>
      </c>
      <c r="T322" s="1" t="s">
        <v>7462</v>
      </c>
      <c r="U322" s="1" t="s">
        <v>7463</v>
      </c>
      <c r="V322" s="1">
        <v>148</v>
      </c>
      <c r="W322" s="1" t="s">
        <v>48</v>
      </c>
      <c r="X322" s="1" t="s">
        <v>7464</v>
      </c>
      <c r="Y322" s="1" t="str">
        <f>HYPERLINK("http://dx.doi.org/10.1016/j.fbp.2024.08.011","http://dx.doi.org/10.1016/j.fbp.2024.08.011")</f>
        <v>http://dx.doi.org/10.1016/j.fbp.2024.08.011</v>
      </c>
      <c r="Z322" s="1">
        <v>20</v>
      </c>
      <c r="AA322" s="1" t="s">
        <v>7465</v>
      </c>
      <c r="AB322" s="1" t="s">
        <v>67</v>
      </c>
      <c r="AC322" s="1" t="s">
        <v>7466</v>
      </c>
      <c r="AD322" s="1" t="s">
        <v>48</v>
      </c>
      <c r="AE322" s="1" t="s">
        <v>48</v>
      </c>
    </row>
    <row r="323" spans="1:31" s="1" customFormat="1" ht="18.5" x14ac:dyDescent="0.45">
      <c r="A323" s="1" t="s">
        <v>7467</v>
      </c>
      <c r="B323" s="1" t="s">
        <v>7468</v>
      </c>
      <c r="C323" s="1" t="s">
        <v>7469</v>
      </c>
      <c r="D323" s="1" t="s">
        <v>1273</v>
      </c>
      <c r="E323" s="1" t="s">
        <v>53</v>
      </c>
      <c r="F323" s="1" t="s">
        <v>7470</v>
      </c>
      <c r="G323" s="1" t="s">
        <v>7471</v>
      </c>
      <c r="H323" s="1" t="s">
        <v>7472</v>
      </c>
      <c r="I323" s="2">
        <v>2024</v>
      </c>
      <c r="J323" s="1" t="s">
        <v>7473</v>
      </c>
      <c r="K323" s="1" t="s">
        <v>7474</v>
      </c>
      <c r="L323" s="1" t="s">
        <v>688</v>
      </c>
      <c r="M323" s="1">
        <v>60</v>
      </c>
      <c r="N323" s="1">
        <v>15</v>
      </c>
      <c r="O323" s="1">
        <v>29</v>
      </c>
      <c r="P323" s="1">
        <v>42</v>
      </c>
      <c r="Q323" s="1" t="s">
        <v>215</v>
      </c>
      <c r="R323" s="1" t="s">
        <v>158</v>
      </c>
      <c r="S323" s="1" t="s">
        <v>216</v>
      </c>
      <c r="T323" s="1" t="s">
        <v>1276</v>
      </c>
      <c r="U323" s="1" t="s">
        <v>1277</v>
      </c>
      <c r="V323" s="1">
        <v>133</v>
      </c>
      <c r="W323" s="1" t="s">
        <v>48</v>
      </c>
      <c r="X323" s="1" t="s">
        <v>7475</v>
      </c>
      <c r="Y323" s="1" t="str">
        <f>HYPERLINK("http://dx.doi.org/10.1016/j.engappai.2024.108133","http://dx.doi.org/10.1016/j.engappai.2024.108133")</f>
        <v>http://dx.doi.org/10.1016/j.engappai.2024.108133</v>
      </c>
      <c r="Z323" s="1">
        <v>17</v>
      </c>
      <c r="AA323" s="1" t="s">
        <v>1281</v>
      </c>
      <c r="AB323" s="1" t="s">
        <v>67</v>
      </c>
      <c r="AC323" s="1" t="s">
        <v>1282</v>
      </c>
      <c r="AD323" s="1" t="s">
        <v>48</v>
      </c>
      <c r="AE323" s="1" t="s">
        <v>48</v>
      </c>
    </row>
    <row r="324" spans="1:31" s="1" customFormat="1" ht="18.5" x14ac:dyDescent="0.45">
      <c r="A324" s="1" t="s">
        <v>7502</v>
      </c>
      <c r="B324" s="1" t="s">
        <v>7503</v>
      </c>
      <c r="C324" s="1" t="s">
        <v>7504</v>
      </c>
      <c r="D324" s="1" t="s">
        <v>7505</v>
      </c>
      <c r="E324" s="1" t="s">
        <v>53</v>
      </c>
      <c r="F324" s="1" t="s">
        <v>48</v>
      </c>
      <c r="G324" s="1" t="s">
        <v>7506</v>
      </c>
      <c r="H324" s="1" t="s">
        <v>7507</v>
      </c>
      <c r="I324" s="2">
        <v>2024</v>
      </c>
      <c r="J324" s="1" t="s">
        <v>7508</v>
      </c>
      <c r="K324" s="1" t="s">
        <v>7509</v>
      </c>
      <c r="L324" s="1" t="s">
        <v>7510</v>
      </c>
      <c r="M324" s="1">
        <v>84</v>
      </c>
      <c r="N324" s="1">
        <v>0</v>
      </c>
      <c r="O324" s="1">
        <v>1</v>
      </c>
      <c r="P324" s="1">
        <v>1</v>
      </c>
      <c r="Q324" s="1" t="s">
        <v>7511</v>
      </c>
      <c r="R324" s="1" t="s">
        <v>7512</v>
      </c>
      <c r="S324" s="1" t="s">
        <v>7513</v>
      </c>
      <c r="T324" s="1" t="s">
        <v>7514</v>
      </c>
      <c r="U324" s="1" t="s">
        <v>7515</v>
      </c>
      <c r="V324" s="1">
        <v>110</v>
      </c>
      <c r="W324" s="1">
        <v>2</v>
      </c>
      <c r="X324" s="1" t="s">
        <v>7516</v>
      </c>
      <c r="Y324" s="1" t="str">
        <f>HYPERLINK("http://dx.doi.org/10.1103/PhysRevD.110.024030","http://dx.doi.org/10.1103/PhysRevD.110.024030")</f>
        <v>http://dx.doi.org/10.1103/PhysRevD.110.024030</v>
      </c>
      <c r="Z324" s="1">
        <v>16</v>
      </c>
      <c r="AA324" s="1" t="s">
        <v>3980</v>
      </c>
      <c r="AB324" s="1" t="s">
        <v>67</v>
      </c>
      <c r="AC324" s="1" t="s">
        <v>3709</v>
      </c>
      <c r="AD324" s="1" t="s">
        <v>48</v>
      </c>
      <c r="AE324" s="1" t="s">
        <v>2074</v>
      </c>
    </row>
    <row r="325" spans="1:31" s="1" customFormat="1" ht="18.5" x14ac:dyDescent="0.45">
      <c r="A325" s="1" t="s">
        <v>7517</v>
      </c>
      <c r="B325" s="1" t="s">
        <v>7518</v>
      </c>
      <c r="C325" s="1" t="s">
        <v>7519</v>
      </c>
      <c r="D325" s="1" t="s">
        <v>357</v>
      </c>
      <c r="E325" s="1" t="s">
        <v>53</v>
      </c>
      <c r="F325" s="1" t="s">
        <v>7520</v>
      </c>
      <c r="G325" s="1" t="s">
        <v>7521</v>
      </c>
      <c r="H325" s="1" t="s">
        <v>7522</v>
      </c>
      <c r="I325" s="2">
        <v>2024</v>
      </c>
      <c r="J325" s="1" t="s">
        <v>7523</v>
      </c>
      <c r="K325" s="1" t="s">
        <v>7524</v>
      </c>
      <c r="L325" s="1" t="s">
        <v>7525</v>
      </c>
      <c r="M325" s="1">
        <v>117</v>
      </c>
      <c r="N325" s="1">
        <v>0</v>
      </c>
      <c r="O325" s="1">
        <v>4</v>
      </c>
      <c r="P325" s="1">
        <v>4</v>
      </c>
      <c r="Q325" s="1" t="s">
        <v>360</v>
      </c>
      <c r="R325" s="1" t="s">
        <v>361</v>
      </c>
      <c r="S325" s="1" t="s">
        <v>362</v>
      </c>
      <c r="T325" s="1" t="s">
        <v>48</v>
      </c>
      <c r="U325" s="1" t="s">
        <v>363</v>
      </c>
      <c r="V325" s="1">
        <v>10</v>
      </c>
      <c r="W325" s="1">
        <v>14</v>
      </c>
      <c r="X325" s="1" t="s">
        <v>7527</v>
      </c>
      <c r="Y325" s="1" t="str">
        <f>HYPERLINK("http://dx.doi.org/10.1016/j.heliyon.2024.e34183","http://dx.doi.org/10.1016/j.heliyon.2024.e34183")</f>
        <v>http://dx.doi.org/10.1016/j.heliyon.2024.e34183</v>
      </c>
      <c r="Z325" s="1">
        <v>21</v>
      </c>
      <c r="AA325" s="1" t="s">
        <v>335</v>
      </c>
      <c r="AB325" s="1" t="s">
        <v>67</v>
      </c>
      <c r="AC325" s="1" t="s">
        <v>336</v>
      </c>
      <c r="AD325" s="1">
        <v>39100473</v>
      </c>
      <c r="AE325" s="1" t="s">
        <v>337</v>
      </c>
    </row>
    <row r="326" spans="1:31" s="1" customFormat="1" ht="18.5" x14ac:dyDescent="0.45">
      <c r="A326" s="1" t="s">
        <v>7528</v>
      </c>
      <c r="B326" s="1" t="s">
        <v>7529</v>
      </c>
      <c r="C326" s="1" t="s">
        <v>7530</v>
      </c>
      <c r="D326" s="1" t="s">
        <v>5972</v>
      </c>
      <c r="E326" s="1" t="s">
        <v>53</v>
      </c>
      <c r="F326" s="1" t="s">
        <v>7531</v>
      </c>
      <c r="G326" s="1" t="s">
        <v>7532</v>
      </c>
      <c r="H326" s="1" t="s">
        <v>7533</v>
      </c>
      <c r="I326" s="2">
        <v>2024</v>
      </c>
      <c r="J326" s="1" t="s">
        <v>7534</v>
      </c>
      <c r="K326" s="1" t="s">
        <v>7535</v>
      </c>
      <c r="L326" s="1" t="s">
        <v>7536</v>
      </c>
      <c r="M326" s="1">
        <v>63</v>
      </c>
      <c r="N326" s="1">
        <v>3</v>
      </c>
      <c r="O326" s="1">
        <v>5</v>
      </c>
      <c r="P326" s="1">
        <v>6</v>
      </c>
      <c r="Q326" s="1" t="s">
        <v>132</v>
      </c>
      <c r="R326" s="1" t="s">
        <v>133</v>
      </c>
      <c r="S326" s="1" t="s">
        <v>134</v>
      </c>
      <c r="T326" s="1" t="s">
        <v>48</v>
      </c>
      <c r="U326" s="1" t="s">
        <v>5975</v>
      </c>
      <c r="V326" s="1">
        <v>16</v>
      </c>
      <c r="W326" s="1">
        <v>8</v>
      </c>
      <c r="X326" s="1" t="s">
        <v>7537</v>
      </c>
      <c r="Y326" s="1" t="str">
        <f>HYPERLINK("http://dx.doi.org/10.3390/su16083383","http://dx.doi.org/10.3390/su16083383")</f>
        <v>http://dx.doi.org/10.3390/su16083383</v>
      </c>
      <c r="Z326" s="1">
        <v>24</v>
      </c>
      <c r="AA326" s="1" t="s">
        <v>5977</v>
      </c>
      <c r="AB326" s="1" t="s">
        <v>944</v>
      </c>
      <c r="AC326" s="1" t="s">
        <v>723</v>
      </c>
      <c r="AD326" s="1" t="s">
        <v>48</v>
      </c>
      <c r="AE326" s="1" t="s">
        <v>125</v>
      </c>
    </row>
    <row r="327" spans="1:31" s="1" customFormat="1" ht="18.5" x14ac:dyDescent="0.45">
      <c r="A327" s="1" t="s">
        <v>7538</v>
      </c>
      <c r="B327" s="1" t="s">
        <v>7539</v>
      </c>
      <c r="C327" s="1" t="s">
        <v>7540</v>
      </c>
      <c r="D327" s="1" t="s">
        <v>7541</v>
      </c>
      <c r="E327" s="1" t="s">
        <v>53</v>
      </c>
      <c r="F327" s="1" t="s">
        <v>7542</v>
      </c>
      <c r="G327" s="1" t="s">
        <v>7543</v>
      </c>
      <c r="H327" s="1" t="s">
        <v>7544</v>
      </c>
      <c r="I327" s="2">
        <v>2024</v>
      </c>
      <c r="J327" s="1" t="s">
        <v>7545</v>
      </c>
      <c r="K327" s="1" t="s">
        <v>7546</v>
      </c>
      <c r="L327" s="1" t="s">
        <v>7547</v>
      </c>
      <c r="M327" s="1">
        <v>61</v>
      </c>
      <c r="N327" s="1">
        <v>3</v>
      </c>
      <c r="O327" s="1">
        <v>4</v>
      </c>
      <c r="P327" s="1">
        <v>4</v>
      </c>
      <c r="Q327" s="1" t="s">
        <v>79</v>
      </c>
      <c r="R327" s="1" t="s">
        <v>80</v>
      </c>
      <c r="S327" s="1" t="s">
        <v>81</v>
      </c>
      <c r="T327" s="1" t="s">
        <v>7548</v>
      </c>
      <c r="U327" s="1" t="s">
        <v>7549</v>
      </c>
      <c r="V327" s="1">
        <v>170</v>
      </c>
      <c r="W327" s="1" t="s">
        <v>48</v>
      </c>
      <c r="X327" s="1" t="s">
        <v>7552</v>
      </c>
      <c r="Y327" s="1" t="str">
        <f>HYPERLINK("http://dx.doi.org/10.1016/j.inoche.2024.113108","http://dx.doi.org/10.1016/j.inoche.2024.113108")</f>
        <v>http://dx.doi.org/10.1016/j.inoche.2024.113108</v>
      </c>
      <c r="Z327" s="1">
        <v>9</v>
      </c>
      <c r="AA327" s="1" t="s">
        <v>4434</v>
      </c>
      <c r="AB327" s="1" t="s">
        <v>67</v>
      </c>
      <c r="AC327" s="1" t="s">
        <v>2293</v>
      </c>
      <c r="AD327" s="1" t="s">
        <v>48</v>
      </c>
      <c r="AE327" s="1" t="s">
        <v>48</v>
      </c>
    </row>
    <row r="328" spans="1:31" s="1" customFormat="1" ht="18.5" x14ac:dyDescent="0.45">
      <c r="A328" s="1" t="s">
        <v>7553</v>
      </c>
      <c r="B328" s="1" t="s">
        <v>7554</v>
      </c>
      <c r="C328" s="1" t="s">
        <v>7555</v>
      </c>
      <c r="D328" s="1" t="s">
        <v>7556</v>
      </c>
      <c r="E328" s="1" t="s">
        <v>53</v>
      </c>
      <c r="F328" s="1" t="s">
        <v>48</v>
      </c>
      <c r="G328" s="1" t="s">
        <v>7557</v>
      </c>
      <c r="H328" s="1" t="s">
        <v>7558</v>
      </c>
      <c r="I328" s="2">
        <v>2024</v>
      </c>
      <c r="J328" s="1" t="s">
        <v>7559</v>
      </c>
      <c r="K328" s="1" t="s">
        <v>7560</v>
      </c>
      <c r="L328" s="1" t="s">
        <v>7451</v>
      </c>
      <c r="M328" s="1">
        <v>108</v>
      </c>
      <c r="N328" s="1">
        <v>9</v>
      </c>
      <c r="O328" s="1">
        <v>10</v>
      </c>
      <c r="P328" s="1">
        <v>10</v>
      </c>
      <c r="Q328" s="1" t="s">
        <v>1183</v>
      </c>
      <c r="R328" s="1" t="s">
        <v>1184</v>
      </c>
      <c r="S328" s="1" t="s">
        <v>1185</v>
      </c>
      <c r="T328" s="1" t="s">
        <v>7561</v>
      </c>
      <c r="U328" s="1" t="s">
        <v>7562</v>
      </c>
      <c r="V328" s="1">
        <v>24</v>
      </c>
      <c r="W328" s="1">
        <v>17</v>
      </c>
      <c r="X328" s="1" t="s">
        <v>7563</v>
      </c>
      <c r="Y328" s="1" t="str">
        <f>HYPERLINK("http://dx.doi.org/10.1021/acs.cgd.4c00893","http://dx.doi.org/10.1021/acs.cgd.4c00893")</f>
        <v>http://dx.doi.org/10.1021/acs.cgd.4c00893</v>
      </c>
      <c r="Z328" s="1">
        <v>16</v>
      </c>
      <c r="AA328" s="1" t="s">
        <v>7564</v>
      </c>
      <c r="AB328" s="1" t="s">
        <v>67</v>
      </c>
      <c r="AC328" s="1" t="s">
        <v>7565</v>
      </c>
      <c r="AD328" s="1" t="s">
        <v>48</v>
      </c>
      <c r="AE328" s="1" t="s">
        <v>48</v>
      </c>
    </row>
    <row r="329" spans="1:31" s="1" customFormat="1" ht="18.5" x14ac:dyDescent="0.45">
      <c r="A329" s="1" t="s">
        <v>7585</v>
      </c>
      <c r="B329" s="1" t="s">
        <v>7586</v>
      </c>
      <c r="C329" s="1" t="s">
        <v>7587</v>
      </c>
      <c r="D329" s="1" t="s">
        <v>7381</v>
      </c>
      <c r="E329" s="1" t="s">
        <v>53</v>
      </c>
      <c r="F329" s="1" t="s">
        <v>7588</v>
      </c>
      <c r="G329" s="1" t="s">
        <v>7589</v>
      </c>
      <c r="H329" s="1" t="s">
        <v>7590</v>
      </c>
      <c r="I329" s="2">
        <v>2024</v>
      </c>
      <c r="J329" s="1" t="s">
        <v>7591</v>
      </c>
      <c r="K329" s="1" t="s">
        <v>7592</v>
      </c>
      <c r="L329" s="1" t="s">
        <v>7593</v>
      </c>
      <c r="M329" s="1">
        <v>44</v>
      </c>
      <c r="N329" s="1">
        <v>0</v>
      </c>
      <c r="O329" s="1">
        <v>3</v>
      </c>
      <c r="P329" s="1">
        <v>3</v>
      </c>
      <c r="Q329" s="1" t="s">
        <v>2989</v>
      </c>
      <c r="R329" s="1" t="s">
        <v>2990</v>
      </c>
      <c r="S329" s="1" t="s">
        <v>2991</v>
      </c>
      <c r="T329" s="1" t="s">
        <v>7388</v>
      </c>
      <c r="U329" s="1" t="s">
        <v>7389</v>
      </c>
      <c r="V329" s="1">
        <v>19</v>
      </c>
      <c r="W329" s="1">
        <v>11</v>
      </c>
      <c r="X329" s="1" t="s">
        <v>7594</v>
      </c>
      <c r="Y329" s="1" t="str">
        <f>HYPERLINK("http://dx.doi.org/10.1002/cmdc.202400037","http://dx.doi.org/10.1002/cmdc.202400037")</f>
        <v>http://dx.doi.org/10.1002/cmdc.202400037</v>
      </c>
      <c r="Z329" s="1">
        <v>13</v>
      </c>
      <c r="AA329" s="1" t="s">
        <v>1323</v>
      </c>
      <c r="AB329" s="1" t="s">
        <v>67</v>
      </c>
      <c r="AC329" s="1" t="s">
        <v>1324</v>
      </c>
      <c r="AD329" s="1">
        <v>38459687</v>
      </c>
      <c r="AE329" s="1" t="s">
        <v>48</v>
      </c>
    </row>
    <row r="330" spans="1:31" s="1" customFormat="1" ht="18.5" x14ac:dyDescent="0.45">
      <c r="A330" s="1" t="s">
        <v>7595</v>
      </c>
      <c r="B330" s="1" t="s">
        <v>7596</v>
      </c>
      <c r="C330" s="1" t="s">
        <v>7597</v>
      </c>
      <c r="D330" s="1" t="s">
        <v>7598</v>
      </c>
      <c r="E330" s="1" t="s">
        <v>1114</v>
      </c>
      <c r="F330" s="1" t="s">
        <v>48</v>
      </c>
      <c r="G330" s="1" t="s">
        <v>7599</v>
      </c>
      <c r="H330" s="1" t="s">
        <v>7600</v>
      </c>
      <c r="I330" s="2">
        <v>2024</v>
      </c>
      <c r="J330" s="1" t="s">
        <v>7601</v>
      </c>
      <c r="K330" s="1" t="s">
        <v>7602</v>
      </c>
      <c r="L330" s="1" t="s">
        <v>7603</v>
      </c>
      <c r="M330" s="1">
        <v>37</v>
      </c>
      <c r="N330" s="1">
        <v>1</v>
      </c>
      <c r="O330" s="1">
        <v>0</v>
      </c>
      <c r="P330" s="1">
        <v>4</v>
      </c>
      <c r="Q330" s="1" t="s">
        <v>7604</v>
      </c>
      <c r="R330" s="1" t="s">
        <v>504</v>
      </c>
      <c r="S330" s="1" t="s">
        <v>7605</v>
      </c>
      <c r="T330" s="1" t="s">
        <v>7606</v>
      </c>
      <c r="U330" s="1" t="s">
        <v>7607</v>
      </c>
      <c r="V330" s="1">
        <v>49</v>
      </c>
      <c r="W330" s="1">
        <v>1</v>
      </c>
      <c r="X330" s="1" t="s">
        <v>7608</v>
      </c>
      <c r="Y330" s="1" t="str">
        <f>HYPERLINK("http://dx.doi.org/10.1016/j.cpcardiol.2023.102065","http://dx.doi.org/10.1016/j.cpcardiol.2023.102065")</f>
        <v>http://dx.doi.org/10.1016/j.cpcardiol.2023.102065</v>
      </c>
      <c r="Z330" s="1">
        <v>9</v>
      </c>
      <c r="AA330" s="1" t="s">
        <v>7609</v>
      </c>
      <c r="AB330" s="1" t="s">
        <v>67</v>
      </c>
      <c r="AC330" s="1" t="s">
        <v>7610</v>
      </c>
      <c r="AD330" s="1">
        <v>37652112</v>
      </c>
      <c r="AE330" s="1" t="s">
        <v>48</v>
      </c>
    </row>
    <row r="331" spans="1:31" s="1" customFormat="1" ht="18.5" x14ac:dyDescent="0.45">
      <c r="A331" s="1" t="s">
        <v>7650</v>
      </c>
      <c r="B331" s="1" t="s">
        <v>7651</v>
      </c>
      <c r="C331" s="1" t="s">
        <v>7652</v>
      </c>
      <c r="D331" s="1" t="s">
        <v>7653</v>
      </c>
      <c r="E331" s="1" t="s">
        <v>53</v>
      </c>
      <c r="F331" s="1" t="s">
        <v>7654</v>
      </c>
      <c r="G331" s="1" t="s">
        <v>7655</v>
      </c>
      <c r="H331" s="1" t="s">
        <v>7656</v>
      </c>
      <c r="I331" s="2">
        <v>2024</v>
      </c>
      <c r="J331" s="1" t="s">
        <v>7657</v>
      </c>
      <c r="K331" s="1" t="s">
        <v>7658</v>
      </c>
      <c r="L331" s="1" t="s">
        <v>6141</v>
      </c>
      <c r="M331" s="1">
        <v>84</v>
      </c>
      <c r="N331" s="1">
        <v>4</v>
      </c>
      <c r="O331" s="1">
        <v>2</v>
      </c>
      <c r="P331" s="1">
        <v>2</v>
      </c>
      <c r="Q331" s="1" t="s">
        <v>1183</v>
      </c>
      <c r="R331" s="1" t="s">
        <v>1184</v>
      </c>
      <c r="S331" s="1" t="s">
        <v>1185</v>
      </c>
      <c r="T331" s="1" t="s">
        <v>7659</v>
      </c>
      <c r="U331" s="1" t="s">
        <v>48</v>
      </c>
      <c r="V331" s="1">
        <v>7</v>
      </c>
      <c r="W331" s="1">
        <v>11</v>
      </c>
      <c r="X331" s="1" t="s">
        <v>7660</v>
      </c>
      <c r="Y331" s="1" t="str">
        <f>HYPERLINK("http://dx.doi.org/10.1021/acsabm.4c01131","http://dx.doi.org/10.1021/acsabm.4c01131")</f>
        <v>http://dx.doi.org/10.1021/acsabm.4c01131</v>
      </c>
      <c r="Z331" s="1">
        <v>18</v>
      </c>
      <c r="AA331" s="1" t="s">
        <v>7661</v>
      </c>
      <c r="AB331" s="1" t="s">
        <v>124</v>
      </c>
      <c r="AC331" s="1" t="s">
        <v>3663</v>
      </c>
      <c r="AD331" s="1">
        <v>39504304</v>
      </c>
      <c r="AE331" s="1" t="s">
        <v>48</v>
      </c>
    </row>
    <row r="332" spans="1:31" s="1" customFormat="1" ht="18.5" x14ac:dyDescent="0.45">
      <c r="A332" s="1" t="s">
        <v>7692</v>
      </c>
      <c r="B332" s="1" t="s">
        <v>7693</v>
      </c>
      <c r="C332" s="1" t="s">
        <v>7694</v>
      </c>
      <c r="D332" s="1" t="s">
        <v>7695</v>
      </c>
      <c r="E332" s="1" t="s">
        <v>53</v>
      </c>
      <c r="F332" s="1" t="s">
        <v>7696</v>
      </c>
      <c r="G332" s="1" t="s">
        <v>7697</v>
      </c>
      <c r="H332" s="1" t="s">
        <v>7698</v>
      </c>
      <c r="I332" s="2">
        <v>2024</v>
      </c>
      <c r="J332" s="1" t="s">
        <v>7699</v>
      </c>
      <c r="K332" s="1" t="s">
        <v>7700</v>
      </c>
      <c r="L332" s="1" t="s">
        <v>7701</v>
      </c>
      <c r="M332" s="1">
        <v>46</v>
      </c>
      <c r="N332" s="1">
        <v>1</v>
      </c>
      <c r="O332" s="1">
        <v>1</v>
      </c>
      <c r="P332" s="1">
        <v>2</v>
      </c>
      <c r="Q332" s="1" t="s">
        <v>2989</v>
      </c>
      <c r="R332" s="1" t="s">
        <v>2990</v>
      </c>
      <c r="S332" s="1" t="s">
        <v>2991</v>
      </c>
      <c r="T332" s="1" t="s">
        <v>7702</v>
      </c>
      <c r="U332" s="1" t="s">
        <v>7703</v>
      </c>
      <c r="V332" s="1">
        <v>27</v>
      </c>
      <c r="W332" s="1">
        <v>29</v>
      </c>
      <c r="X332" s="1" t="s">
        <v>7704</v>
      </c>
      <c r="Y332" s="1" t="str">
        <f>HYPERLINK("http://dx.doi.org/10.1002/ejoc.202400217","http://dx.doi.org/10.1002/ejoc.202400217")</f>
        <v>http://dx.doi.org/10.1002/ejoc.202400217</v>
      </c>
      <c r="Z332" s="1">
        <v>6</v>
      </c>
      <c r="AA332" s="1" t="s">
        <v>2366</v>
      </c>
      <c r="AB332" s="1" t="s">
        <v>67</v>
      </c>
      <c r="AC332" s="1" t="s">
        <v>2293</v>
      </c>
      <c r="AD332" s="1" t="s">
        <v>48</v>
      </c>
      <c r="AE332" s="1" t="s">
        <v>48</v>
      </c>
    </row>
    <row r="333" spans="1:31" s="1" customFormat="1" ht="18.5" x14ac:dyDescent="0.45">
      <c r="A333" s="1" t="s">
        <v>7712</v>
      </c>
      <c r="B333" s="1" t="s">
        <v>7713</v>
      </c>
      <c r="C333" s="1" t="s">
        <v>7714</v>
      </c>
      <c r="D333" s="1" t="s">
        <v>5190</v>
      </c>
      <c r="E333" s="1" t="s">
        <v>53</v>
      </c>
      <c r="F333" s="1" t="s">
        <v>7715</v>
      </c>
      <c r="G333" s="1" t="s">
        <v>7716</v>
      </c>
      <c r="H333" s="1" t="s">
        <v>7717</v>
      </c>
      <c r="I333" s="2">
        <v>2024</v>
      </c>
      <c r="J333" s="1" t="s">
        <v>7718</v>
      </c>
      <c r="K333" s="1" t="s">
        <v>7719</v>
      </c>
      <c r="L333" s="1" t="s">
        <v>7720</v>
      </c>
      <c r="M333" s="1">
        <v>72</v>
      </c>
      <c r="N333" s="1">
        <v>0</v>
      </c>
      <c r="O333" s="1">
        <v>0</v>
      </c>
      <c r="P333" s="1">
        <v>1</v>
      </c>
      <c r="Q333" s="1" t="s">
        <v>5193</v>
      </c>
      <c r="R333" s="1" t="s">
        <v>5194</v>
      </c>
      <c r="S333" s="1" t="s">
        <v>5195</v>
      </c>
      <c r="T333" s="1" t="s">
        <v>5196</v>
      </c>
      <c r="U333" s="1" t="s">
        <v>5197</v>
      </c>
      <c r="V333" s="1">
        <v>82</v>
      </c>
      <c r="W333" s="1">
        <v>3</v>
      </c>
      <c r="X333" s="1" t="s">
        <v>7721</v>
      </c>
      <c r="Y333" s="1" t="str">
        <f>HYPERLINK("http://dx.doi.org/10.1007/s12013-024-01369-8","http://dx.doi.org/10.1007/s12013-024-01369-8")</f>
        <v>http://dx.doi.org/10.1007/s12013-024-01369-8</v>
      </c>
      <c r="Z333" s="1">
        <v>17</v>
      </c>
      <c r="AA333" s="1" t="s">
        <v>5199</v>
      </c>
      <c r="AB333" s="1" t="s">
        <v>67</v>
      </c>
      <c r="AC333" s="1" t="s">
        <v>5199</v>
      </c>
      <c r="AD333" s="1">
        <v>38943009</v>
      </c>
      <c r="AE333" s="1" t="s">
        <v>48</v>
      </c>
    </row>
    <row r="334" spans="1:31" s="1" customFormat="1" ht="18.5" x14ac:dyDescent="0.45">
      <c r="A334" s="1" t="s">
        <v>7733</v>
      </c>
      <c r="B334" s="1" t="s">
        <v>7734</v>
      </c>
      <c r="C334" s="1" t="s">
        <v>7735</v>
      </c>
      <c r="D334" s="1" t="s">
        <v>7736</v>
      </c>
      <c r="E334" s="1" t="s">
        <v>53</v>
      </c>
      <c r="F334" s="1" t="s">
        <v>48</v>
      </c>
      <c r="G334" s="1" t="s">
        <v>7737</v>
      </c>
      <c r="H334" s="1" t="s">
        <v>7738</v>
      </c>
      <c r="I334" s="2">
        <v>2024</v>
      </c>
      <c r="J334" s="1" t="s">
        <v>7739</v>
      </c>
      <c r="K334" s="1" t="s">
        <v>7740</v>
      </c>
      <c r="L334" s="1" t="s">
        <v>7741</v>
      </c>
      <c r="M334" s="1">
        <v>120</v>
      </c>
      <c r="N334" s="1">
        <v>18</v>
      </c>
      <c r="O334" s="1">
        <v>8</v>
      </c>
      <c r="P334" s="1">
        <v>12</v>
      </c>
      <c r="Q334" s="1" t="s">
        <v>2607</v>
      </c>
      <c r="R334" s="1" t="s">
        <v>361</v>
      </c>
      <c r="S334" s="1" t="s">
        <v>2608</v>
      </c>
      <c r="T334" s="1" t="s">
        <v>48</v>
      </c>
      <c r="U334" s="1" t="s">
        <v>7742</v>
      </c>
      <c r="V334" s="1">
        <v>14</v>
      </c>
      <c r="W334" s="1">
        <v>21</v>
      </c>
      <c r="X334" s="1" t="s">
        <v>7745</v>
      </c>
      <c r="Y334" s="1" t="str">
        <f>HYPERLINK("http://dx.doi.org/10.1039/d4ra01846j","http://dx.doi.org/10.1039/d4ra01846j")</f>
        <v>http://dx.doi.org/10.1039/d4ra01846j</v>
      </c>
      <c r="Z334" s="1">
        <v>16</v>
      </c>
      <c r="AA334" s="1" t="s">
        <v>2292</v>
      </c>
      <c r="AB334" s="1" t="s">
        <v>67</v>
      </c>
      <c r="AC334" s="1" t="s">
        <v>2293</v>
      </c>
      <c r="AD334" s="1">
        <v>38720988</v>
      </c>
      <c r="AE334" s="1" t="s">
        <v>125</v>
      </c>
    </row>
    <row r="335" spans="1:31" s="1" customFormat="1" ht="18.5" x14ac:dyDescent="0.45">
      <c r="A335" s="1" t="s">
        <v>7756</v>
      </c>
      <c r="B335" s="1" t="s">
        <v>7757</v>
      </c>
      <c r="C335" s="1" t="s">
        <v>7758</v>
      </c>
      <c r="D335" s="1" t="s">
        <v>7759</v>
      </c>
      <c r="E335" s="1" t="s">
        <v>53</v>
      </c>
      <c r="F335" s="1" t="s">
        <v>7760</v>
      </c>
      <c r="G335" s="1" t="s">
        <v>7761</v>
      </c>
      <c r="H335" s="1" t="s">
        <v>7762</v>
      </c>
      <c r="I335" s="2">
        <v>2024</v>
      </c>
      <c r="J335" s="1" t="s">
        <v>7763</v>
      </c>
      <c r="K335" s="1" t="s">
        <v>7764</v>
      </c>
      <c r="L335" s="1" t="s">
        <v>7765</v>
      </c>
      <c r="M335" s="1">
        <v>20</v>
      </c>
      <c r="N335" s="1">
        <v>1</v>
      </c>
      <c r="O335" s="1">
        <v>0</v>
      </c>
      <c r="P335" s="1">
        <v>1</v>
      </c>
      <c r="Q335" s="1" t="s">
        <v>198</v>
      </c>
      <c r="R335" s="1" t="s">
        <v>146</v>
      </c>
      <c r="S335" s="1" t="s">
        <v>199</v>
      </c>
      <c r="T335" s="1" t="s">
        <v>7766</v>
      </c>
      <c r="U335" s="1" t="s">
        <v>7767</v>
      </c>
      <c r="V335" s="1">
        <v>51</v>
      </c>
      <c r="W335" s="1">
        <v>12</v>
      </c>
      <c r="X335" s="1" t="s">
        <v>7768</v>
      </c>
      <c r="Y335" s="1" t="str">
        <f>HYPERLINK("http://dx.doi.org/10.1080/02664763.2023.2283689","http://dx.doi.org/10.1080/02664763.2023.2283689")</f>
        <v>http://dx.doi.org/10.1080/02664763.2023.2283689</v>
      </c>
      <c r="Z335" s="1">
        <v>18</v>
      </c>
      <c r="AA335" s="1" t="s">
        <v>7769</v>
      </c>
      <c r="AB335" s="1" t="s">
        <v>67</v>
      </c>
      <c r="AC335" s="1" t="s">
        <v>137</v>
      </c>
      <c r="AD335" s="1">
        <v>39267710</v>
      </c>
      <c r="AE335" s="1" t="s">
        <v>7770</v>
      </c>
    </row>
    <row r="336" spans="1:31" s="1" customFormat="1" ht="18.5" x14ac:dyDescent="0.45">
      <c r="A336" s="1" t="s">
        <v>7776</v>
      </c>
      <c r="B336" s="1" t="s">
        <v>7777</v>
      </c>
      <c r="C336" s="1" t="s">
        <v>7778</v>
      </c>
      <c r="D336" s="1" t="s">
        <v>1273</v>
      </c>
      <c r="E336" s="1" t="s">
        <v>53</v>
      </c>
      <c r="F336" s="1" t="s">
        <v>7779</v>
      </c>
      <c r="G336" s="1" t="s">
        <v>7780</v>
      </c>
      <c r="H336" s="1" t="s">
        <v>7781</v>
      </c>
      <c r="I336" s="2">
        <v>2024</v>
      </c>
      <c r="J336" s="1" t="s">
        <v>7782</v>
      </c>
      <c r="K336" s="1" t="s">
        <v>7783</v>
      </c>
      <c r="L336" s="1" t="s">
        <v>3564</v>
      </c>
      <c r="M336" s="1">
        <v>53</v>
      </c>
      <c r="N336" s="1">
        <v>2</v>
      </c>
      <c r="O336" s="1">
        <v>5</v>
      </c>
      <c r="P336" s="1">
        <v>10</v>
      </c>
      <c r="Q336" s="1" t="s">
        <v>215</v>
      </c>
      <c r="R336" s="1" t="s">
        <v>158</v>
      </c>
      <c r="S336" s="1" t="s">
        <v>216</v>
      </c>
      <c r="T336" s="1" t="s">
        <v>1276</v>
      </c>
      <c r="U336" s="1" t="s">
        <v>1277</v>
      </c>
      <c r="V336" s="1">
        <v>133</v>
      </c>
      <c r="W336" s="1" t="s">
        <v>48</v>
      </c>
      <c r="X336" s="1" t="s">
        <v>7784</v>
      </c>
      <c r="Y336" s="1" t="str">
        <f>HYPERLINK("http://dx.doi.org/10.1016/j.engappai.2024.108464","http://dx.doi.org/10.1016/j.engappai.2024.108464")</f>
        <v>http://dx.doi.org/10.1016/j.engappai.2024.108464</v>
      </c>
      <c r="Z336" s="1">
        <v>15</v>
      </c>
      <c r="AA336" s="1" t="s">
        <v>1281</v>
      </c>
      <c r="AB336" s="1" t="s">
        <v>67</v>
      </c>
      <c r="AC336" s="1" t="s">
        <v>1282</v>
      </c>
      <c r="AD336" s="1" t="s">
        <v>48</v>
      </c>
      <c r="AE336" s="1" t="s">
        <v>48</v>
      </c>
    </row>
    <row r="337" spans="1:31" s="1" customFormat="1" ht="18.5" x14ac:dyDescent="0.45">
      <c r="A337" s="1" t="s">
        <v>7790</v>
      </c>
      <c r="B337" s="1" t="s">
        <v>7791</v>
      </c>
      <c r="C337" s="1" t="s">
        <v>7792</v>
      </c>
      <c r="D337" s="1" t="s">
        <v>7793</v>
      </c>
      <c r="E337" s="1" t="s">
        <v>53</v>
      </c>
      <c r="F337" s="1" t="s">
        <v>7794</v>
      </c>
      <c r="G337" s="1" t="s">
        <v>7795</v>
      </c>
      <c r="H337" s="1" t="s">
        <v>7796</v>
      </c>
      <c r="I337" s="2">
        <v>2024</v>
      </c>
      <c r="J337" s="1" t="s">
        <v>7797</v>
      </c>
      <c r="K337" s="1" t="s">
        <v>7798</v>
      </c>
      <c r="L337" s="1" t="s">
        <v>7799</v>
      </c>
      <c r="M337" s="1">
        <v>79</v>
      </c>
      <c r="N337" s="1">
        <v>1</v>
      </c>
      <c r="O337" s="1">
        <v>2</v>
      </c>
      <c r="P337" s="1">
        <v>14</v>
      </c>
      <c r="Q337" s="1" t="s">
        <v>2851</v>
      </c>
      <c r="R337" s="1" t="s">
        <v>2852</v>
      </c>
      <c r="S337" s="1" t="s">
        <v>2853</v>
      </c>
      <c r="T337" s="1" t="s">
        <v>7800</v>
      </c>
      <c r="U337" s="1" t="s">
        <v>7801</v>
      </c>
      <c r="V337" s="1">
        <v>258</v>
      </c>
      <c r="W337" s="1" t="s">
        <v>48</v>
      </c>
      <c r="X337" s="1" t="s">
        <v>7802</v>
      </c>
      <c r="Y337" s="1" t="str">
        <f>HYPERLINK("http://dx.doi.org/10.1016/j.chemphyslip.2023.105364","http://dx.doi.org/10.1016/j.chemphyslip.2023.105364")</f>
        <v>http://dx.doi.org/10.1016/j.chemphyslip.2023.105364</v>
      </c>
      <c r="Z337" s="1">
        <v>13</v>
      </c>
      <c r="AA337" s="1" t="s">
        <v>2764</v>
      </c>
      <c r="AB337" s="1" t="s">
        <v>67</v>
      </c>
      <c r="AC337" s="1" t="s">
        <v>2764</v>
      </c>
      <c r="AD337" s="1">
        <v>38040405</v>
      </c>
      <c r="AE337" s="1" t="s">
        <v>550</v>
      </c>
    </row>
    <row r="338" spans="1:31" s="1" customFormat="1" ht="18.5" x14ac:dyDescent="0.45">
      <c r="A338" s="1" t="s">
        <v>7821</v>
      </c>
      <c r="B338" s="1" t="s">
        <v>7822</v>
      </c>
      <c r="C338" s="1" t="s">
        <v>7823</v>
      </c>
      <c r="D338" s="1" t="s">
        <v>7824</v>
      </c>
      <c r="E338" s="1" t="s">
        <v>53</v>
      </c>
      <c r="F338" s="1" t="s">
        <v>7825</v>
      </c>
      <c r="G338" s="1" t="s">
        <v>7826</v>
      </c>
      <c r="H338" s="1" t="s">
        <v>7827</v>
      </c>
      <c r="I338" s="2">
        <v>2024</v>
      </c>
      <c r="J338" s="1" t="s">
        <v>7828</v>
      </c>
      <c r="K338" s="1" t="s">
        <v>7829</v>
      </c>
      <c r="L338" s="1" t="s">
        <v>7830</v>
      </c>
      <c r="M338" s="1">
        <v>37</v>
      </c>
      <c r="N338" s="1">
        <v>1</v>
      </c>
      <c r="O338" s="1">
        <v>1</v>
      </c>
      <c r="P338" s="1">
        <v>6</v>
      </c>
      <c r="Q338" s="1" t="s">
        <v>2989</v>
      </c>
      <c r="R338" s="1" t="s">
        <v>2990</v>
      </c>
      <c r="S338" s="1" t="s">
        <v>2991</v>
      </c>
      <c r="T338" s="1" t="s">
        <v>7831</v>
      </c>
      <c r="U338" s="1" t="s">
        <v>7832</v>
      </c>
      <c r="V338" s="1">
        <v>25</v>
      </c>
      <c r="W338" s="1">
        <v>5</v>
      </c>
      <c r="X338" s="1" t="s">
        <v>7833</v>
      </c>
      <c r="Y338" s="1" t="str">
        <f>HYPERLINK("http://dx.doi.org/10.1002/cbic.202300721","http://dx.doi.org/10.1002/cbic.202300721")</f>
        <v>http://dx.doi.org/10.1002/cbic.202300721</v>
      </c>
      <c r="Z338" s="1">
        <v>9</v>
      </c>
      <c r="AA338" s="1" t="s">
        <v>7834</v>
      </c>
      <c r="AB338" s="1" t="s">
        <v>67</v>
      </c>
      <c r="AC338" s="1" t="s">
        <v>7835</v>
      </c>
      <c r="AD338" s="1">
        <v>38226959</v>
      </c>
      <c r="AE338" s="1" t="s">
        <v>48</v>
      </c>
    </row>
    <row r="339" spans="1:31" s="1" customFormat="1" ht="18.5" x14ac:dyDescent="0.45">
      <c r="A339" s="1" t="s">
        <v>7864</v>
      </c>
      <c r="B339" s="1" t="s">
        <v>7865</v>
      </c>
      <c r="C339" s="1" t="s">
        <v>7866</v>
      </c>
      <c r="D339" s="1" t="s">
        <v>1931</v>
      </c>
      <c r="E339" s="1" t="s">
        <v>53</v>
      </c>
      <c r="F339" s="1" t="s">
        <v>7867</v>
      </c>
      <c r="G339" s="1" t="s">
        <v>7868</v>
      </c>
      <c r="H339" s="1" t="s">
        <v>7869</v>
      </c>
      <c r="I339" s="2">
        <v>2024</v>
      </c>
      <c r="J339" s="1" t="s">
        <v>7870</v>
      </c>
      <c r="K339" s="1" t="s">
        <v>7871</v>
      </c>
      <c r="L339" s="1" t="s">
        <v>7872</v>
      </c>
      <c r="M339" s="1">
        <v>71</v>
      </c>
      <c r="N339" s="1">
        <v>22</v>
      </c>
      <c r="O339" s="1">
        <v>7</v>
      </c>
      <c r="P339" s="1">
        <v>29</v>
      </c>
      <c r="Q339" s="1" t="s">
        <v>252</v>
      </c>
      <c r="R339" s="1" t="s">
        <v>253</v>
      </c>
      <c r="S339" s="1" t="s">
        <v>254</v>
      </c>
      <c r="T339" s="1" t="s">
        <v>1932</v>
      </c>
      <c r="U339" s="1" t="s">
        <v>1933</v>
      </c>
      <c r="V339" s="1">
        <v>10</v>
      </c>
      <c r="W339" s="1">
        <v>1</v>
      </c>
      <c r="X339" s="1" t="s">
        <v>7873</v>
      </c>
      <c r="Y339" s="1" t="str">
        <f>HYPERLINK("http://dx.doi.org/10.1007/s40747-023-01108-1","http://dx.doi.org/10.1007/s40747-023-01108-1")</f>
        <v>http://dx.doi.org/10.1007/s40747-023-01108-1</v>
      </c>
      <c r="Z339" s="1">
        <v>16</v>
      </c>
      <c r="AA339" s="1" t="s">
        <v>549</v>
      </c>
      <c r="AB339" s="1" t="s">
        <v>67</v>
      </c>
      <c r="AC339" s="1" t="s">
        <v>292</v>
      </c>
      <c r="AD339" s="1" t="s">
        <v>48</v>
      </c>
      <c r="AE339" s="1" t="s">
        <v>125</v>
      </c>
    </row>
    <row r="340" spans="1:31" s="1" customFormat="1" ht="18.5" x14ac:dyDescent="0.45">
      <c r="A340" s="1" t="s">
        <v>7901</v>
      </c>
      <c r="B340" s="1" t="s">
        <v>7902</v>
      </c>
      <c r="C340" s="1" t="s">
        <v>7903</v>
      </c>
      <c r="D340" s="1" t="s">
        <v>7664</v>
      </c>
      <c r="E340" s="1" t="s">
        <v>53</v>
      </c>
      <c r="F340" s="1" t="s">
        <v>7904</v>
      </c>
      <c r="G340" s="1" t="s">
        <v>7905</v>
      </c>
      <c r="H340" s="1" t="s">
        <v>7906</v>
      </c>
      <c r="I340" s="2">
        <v>2024</v>
      </c>
      <c r="J340" s="1" t="s">
        <v>7907</v>
      </c>
      <c r="K340" s="1" t="s">
        <v>7908</v>
      </c>
      <c r="L340" s="1" t="s">
        <v>7909</v>
      </c>
      <c r="M340" s="1">
        <v>102</v>
      </c>
      <c r="N340" s="1">
        <v>3</v>
      </c>
      <c r="O340" s="1">
        <v>8</v>
      </c>
      <c r="P340" s="1">
        <v>8</v>
      </c>
      <c r="Q340" s="1" t="s">
        <v>132</v>
      </c>
      <c r="R340" s="1" t="s">
        <v>133</v>
      </c>
      <c r="S340" s="1" t="s">
        <v>134</v>
      </c>
      <c r="T340" s="1" t="s">
        <v>48</v>
      </c>
      <c r="U340" s="1" t="s">
        <v>7668</v>
      </c>
      <c r="V340" s="1">
        <v>13</v>
      </c>
      <c r="W340" s="1">
        <v>10</v>
      </c>
      <c r="X340" s="1" t="s">
        <v>7910</v>
      </c>
      <c r="Y340" s="1" t="str">
        <f>HYPERLINK("http://dx.doi.org/10.3390/land13101689","http://dx.doi.org/10.3390/land13101689")</f>
        <v>http://dx.doi.org/10.3390/land13101689</v>
      </c>
      <c r="Z340" s="1">
        <v>22</v>
      </c>
      <c r="AA340" s="1" t="s">
        <v>4193</v>
      </c>
      <c r="AB340" s="1" t="s">
        <v>106</v>
      </c>
      <c r="AC340" s="1" t="s">
        <v>439</v>
      </c>
      <c r="AD340" s="1" t="s">
        <v>48</v>
      </c>
      <c r="AE340" s="1" t="s">
        <v>125</v>
      </c>
    </row>
    <row r="341" spans="1:31" s="1" customFormat="1" ht="18.5" x14ac:dyDescent="0.45">
      <c r="A341" s="1" t="s">
        <v>7911</v>
      </c>
      <c r="B341" s="1" t="s">
        <v>7912</v>
      </c>
      <c r="C341" s="1" t="s">
        <v>7913</v>
      </c>
      <c r="D341" s="1" t="s">
        <v>7914</v>
      </c>
      <c r="E341" s="1" t="s">
        <v>53</v>
      </c>
      <c r="F341" s="1" t="s">
        <v>7915</v>
      </c>
      <c r="G341" s="1" t="s">
        <v>7916</v>
      </c>
      <c r="H341" s="1" t="s">
        <v>7917</v>
      </c>
      <c r="I341" s="2">
        <v>2024</v>
      </c>
      <c r="J341" s="1" t="s">
        <v>7918</v>
      </c>
      <c r="K341" s="1" t="s">
        <v>7919</v>
      </c>
      <c r="L341" s="1" t="s">
        <v>7799</v>
      </c>
      <c r="M341" s="1">
        <v>61</v>
      </c>
      <c r="N341" s="1">
        <v>2</v>
      </c>
      <c r="O341" s="1">
        <v>1</v>
      </c>
      <c r="P341" s="1">
        <v>2</v>
      </c>
      <c r="Q341" s="1" t="s">
        <v>79</v>
      </c>
      <c r="R341" s="1" t="s">
        <v>80</v>
      </c>
      <c r="S341" s="1" t="s">
        <v>81</v>
      </c>
      <c r="T341" s="1" t="s">
        <v>7920</v>
      </c>
      <c r="U341" s="1" t="s">
        <v>7921</v>
      </c>
      <c r="V341" s="1">
        <v>694</v>
      </c>
      <c r="W341" s="1" t="s">
        <v>48</v>
      </c>
      <c r="X341" s="1" t="s">
        <v>7924</v>
      </c>
      <c r="Y341" s="1" t="str">
        <f>HYPERLINK("http://dx.doi.org/10.1016/j.colsurfa.2024.134127","http://dx.doi.org/10.1016/j.colsurfa.2024.134127")</f>
        <v>http://dx.doi.org/10.1016/j.colsurfa.2024.134127</v>
      </c>
      <c r="Z341" s="1">
        <v>11</v>
      </c>
      <c r="AA341" s="1" t="s">
        <v>2899</v>
      </c>
      <c r="AB341" s="1" t="s">
        <v>67</v>
      </c>
      <c r="AC341" s="1" t="s">
        <v>2293</v>
      </c>
      <c r="AD341" s="1" t="s">
        <v>48</v>
      </c>
      <c r="AE341" s="1" t="s">
        <v>48</v>
      </c>
    </row>
    <row r="342" spans="1:31" s="1" customFormat="1" ht="18.5" x14ac:dyDescent="0.45">
      <c r="A342" s="1" t="s">
        <v>7930</v>
      </c>
      <c r="B342" s="1" t="s">
        <v>7931</v>
      </c>
      <c r="C342" s="1" t="s">
        <v>7932</v>
      </c>
      <c r="D342" s="1" t="s">
        <v>7653</v>
      </c>
      <c r="E342" s="1" t="s">
        <v>53</v>
      </c>
      <c r="F342" s="1" t="s">
        <v>7933</v>
      </c>
      <c r="G342" s="1" t="s">
        <v>7934</v>
      </c>
      <c r="H342" s="1" t="s">
        <v>7935</v>
      </c>
      <c r="I342" s="2">
        <v>2024</v>
      </c>
      <c r="J342" s="1" t="s">
        <v>7936</v>
      </c>
      <c r="K342" s="1" t="s">
        <v>7937</v>
      </c>
      <c r="L342" s="1" t="s">
        <v>7938</v>
      </c>
      <c r="M342" s="1">
        <v>59</v>
      </c>
      <c r="N342" s="1">
        <v>3</v>
      </c>
      <c r="O342" s="1">
        <v>3</v>
      </c>
      <c r="P342" s="1">
        <v>3</v>
      </c>
      <c r="Q342" s="1" t="s">
        <v>1183</v>
      </c>
      <c r="R342" s="1" t="s">
        <v>1184</v>
      </c>
      <c r="S342" s="1" t="s">
        <v>1185</v>
      </c>
      <c r="T342" s="1" t="s">
        <v>7659</v>
      </c>
      <c r="U342" s="1" t="s">
        <v>48</v>
      </c>
      <c r="V342" s="1">
        <v>7</v>
      </c>
      <c r="W342" s="1">
        <v>5</v>
      </c>
      <c r="X342" s="1" t="s">
        <v>7940</v>
      </c>
      <c r="Y342" s="1" t="str">
        <f>HYPERLINK("http://dx.doi.org/10.1021/acsabm.4c00335","http://dx.doi.org/10.1021/acsabm.4c00335")</f>
        <v>http://dx.doi.org/10.1021/acsabm.4c00335</v>
      </c>
      <c r="Z342" s="1">
        <v>17</v>
      </c>
      <c r="AA342" s="1" t="s">
        <v>7661</v>
      </c>
      <c r="AB342" s="1" t="s">
        <v>124</v>
      </c>
      <c r="AC342" s="1" t="s">
        <v>3663</v>
      </c>
      <c r="AD342" s="1">
        <v>38687465</v>
      </c>
      <c r="AE342" s="1" t="s">
        <v>48</v>
      </c>
    </row>
    <row r="343" spans="1:31" s="1" customFormat="1" ht="18.5" x14ac:dyDescent="0.45">
      <c r="A343" s="1" t="s">
        <v>7941</v>
      </c>
      <c r="B343" s="1" t="s">
        <v>7942</v>
      </c>
      <c r="C343" s="1" t="s">
        <v>7943</v>
      </c>
      <c r="D343" s="1" t="s">
        <v>3916</v>
      </c>
      <c r="E343" s="1" t="s">
        <v>53</v>
      </c>
      <c r="F343" s="1" t="s">
        <v>7944</v>
      </c>
      <c r="G343" s="1" t="s">
        <v>7945</v>
      </c>
      <c r="H343" s="1" t="s">
        <v>7946</v>
      </c>
      <c r="I343" s="2">
        <v>2024</v>
      </c>
      <c r="J343" s="1" t="s">
        <v>7947</v>
      </c>
      <c r="K343" s="1" t="s">
        <v>7948</v>
      </c>
      <c r="L343" s="1" t="s">
        <v>7949</v>
      </c>
      <c r="M343" s="1">
        <v>59</v>
      </c>
      <c r="N343" s="1">
        <v>1</v>
      </c>
      <c r="O343" s="1">
        <v>2</v>
      </c>
      <c r="P343" s="1">
        <v>3</v>
      </c>
      <c r="Q343" s="1" t="s">
        <v>252</v>
      </c>
      <c r="R343" s="1" t="s">
        <v>253</v>
      </c>
      <c r="S343" s="1" t="s">
        <v>254</v>
      </c>
      <c r="T343" s="1" t="s">
        <v>3919</v>
      </c>
      <c r="U343" s="1" t="s">
        <v>3920</v>
      </c>
      <c r="V343" s="1">
        <v>26</v>
      </c>
      <c r="W343" s="1">
        <v>5</v>
      </c>
      <c r="X343" s="1" t="s">
        <v>7950</v>
      </c>
      <c r="Y343" s="1" t="str">
        <f>HYPERLINK("http://dx.doi.org/10.1007/s40815-023-01583-1","http://dx.doi.org/10.1007/s40815-023-01583-1")</f>
        <v>http://dx.doi.org/10.1007/s40815-023-01583-1</v>
      </c>
      <c r="Z343" s="1">
        <v>19</v>
      </c>
      <c r="AA343" s="1" t="s">
        <v>3922</v>
      </c>
      <c r="AB343" s="1" t="s">
        <v>67</v>
      </c>
      <c r="AC343" s="1" t="s">
        <v>3923</v>
      </c>
      <c r="AD343" s="1" t="s">
        <v>48</v>
      </c>
      <c r="AE343" s="1" t="s">
        <v>48</v>
      </c>
    </row>
    <row r="344" spans="1:31" s="1" customFormat="1" ht="18.5" x14ac:dyDescent="0.45">
      <c r="A344" s="1" t="s">
        <v>7951</v>
      </c>
      <c r="B344" s="1" t="s">
        <v>7952</v>
      </c>
      <c r="C344" s="1" t="s">
        <v>7953</v>
      </c>
      <c r="D344" s="1" t="s">
        <v>129</v>
      </c>
      <c r="E344" s="1" t="s">
        <v>53</v>
      </c>
      <c r="F344" s="1" t="s">
        <v>7954</v>
      </c>
      <c r="G344" s="1" t="s">
        <v>2280</v>
      </c>
      <c r="H344" s="1" t="s">
        <v>7955</v>
      </c>
      <c r="I344" s="2">
        <v>2024</v>
      </c>
      <c r="J344" s="1" t="s">
        <v>7956</v>
      </c>
      <c r="K344" s="1" t="s">
        <v>7957</v>
      </c>
      <c r="L344" s="1" t="s">
        <v>7958</v>
      </c>
      <c r="M344" s="1">
        <v>51</v>
      </c>
      <c r="N344" s="1">
        <v>2</v>
      </c>
      <c r="O344" s="1">
        <v>2</v>
      </c>
      <c r="P344" s="1">
        <v>2</v>
      </c>
      <c r="Q344" s="1" t="s">
        <v>132</v>
      </c>
      <c r="R344" s="1" t="s">
        <v>133</v>
      </c>
      <c r="S344" s="1" t="s">
        <v>134</v>
      </c>
      <c r="T344" s="1" t="s">
        <v>48</v>
      </c>
      <c r="U344" s="1" t="s">
        <v>135</v>
      </c>
      <c r="V344" s="1">
        <v>12</v>
      </c>
      <c r="W344" s="1">
        <v>18</v>
      </c>
      <c r="X344" s="1" t="s">
        <v>7959</v>
      </c>
      <c r="Y344" s="1" t="str">
        <f>HYPERLINK("http://dx.doi.org/10.3390/math12182898","http://dx.doi.org/10.3390/math12182898")</f>
        <v>http://dx.doi.org/10.3390/math12182898</v>
      </c>
      <c r="Z344" s="1">
        <v>24</v>
      </c>
      <c r="AA344" s="1" t="s">
        <v>137</v>
      </c>
      <c r="AB344" s="1" t="s">
        <v>67</v>
      </c>
      <c r="AC344" s="1" t="s">
        <v>137</v>
      </c>
      <c r="AD344" s="1" t="s">
        <v>48</v>
      </c>
      <c r="AE344" s="1" t="s">
        <v>125</v>
      </c>
    </row>
    <row r="345" spans="1:31" s="1" customFormat="1" ht="18.5" x14ac:dyDescent="0.45">
      <c r="A345" s="1" t="s">
        <v>7978</v>
      </c>
      <c r="B345" s="1" t="s">
        <v>7979</v>
      </c>
      <c r="C345" s="1" t="s">
        <v>7980</v>
      </c>
      <c r="D345" s="1" t="s">
        <v>51</v>
      </c>
      <c r="E345" s="1" t="s">
        <v>53</v>
      </c>
      <c r="F345" s="1" t="s">
        <v>7981</v>
      </c>
      <c r="G345" s="1" t="s">
        <v>7982</v>
      </c>
      <c r="H345" s="1" t="s">
        <v>7983</v>
      </c>
      <c r="I345" s="2">
        <v>2024</v>
      </c>
      <c r="J345" s="1" t="s">
        <v>7984</v>
      </c>
      <c r="K345" s="1" t="s">
        <v>7985</v>
      </c>
      <c r="L345" s="1" t="s">
        <v>7986</v>
      </c>
      <c r="M345" s="1">
        <v>99</v>
      </c>
      <c r="N345" s="1">
        <v>1</v>
      </c>
      <c r="O345" s="1">
        <v>2</v>
      </c>
      <c r="P345" s="1">
        <v>3</v>
      </c>
      <c r="Q345" s="1" t="s">
        <v>60</v>
      </c>
      <c r="R345" s="1" t="s">
        <v>61</v>
      </c>
      <c r="S345" s="1" t="s">
        <v>62</v>
      </c>
      <c r="T345" s="1" t="s">
        <v>63</v>
      </c>
      <c r="U345" s="1" t="s">
        <v>64</v>
      </c>
      <c r="V345" s="1">
        <v>74</v>
      </c>
      <c r="W345" s="1">
        <v>1</v>
      </c>
      <c r="X345" s="1" t="s">
        <v>7987</v>
      </c>
      <c r="Y345" s="1" t="str">
        <f>HYPERLINK("http://dx.doi.org/10.1016/j.asr.2024.03.038","http://dx.doi.org/10.1016/j.asr.2024.03.038")</f>
        <v>http://dx.doi.org/10.1016/j.asr.2024.03.038</v>
      </c>
      <c r="Z345" s="1">
        <v>17</v>
      </c>
      <c r="AA345" s="1" t="s">
        <v>66</v>
      </c>
      <c r="AB345" s="1" t="s">
        <v>67</v>
      </c>
      <c r="AC345" s="1" t="s">
        <v>68</v>
      </c>
      <c r="AD345" s="1" t="s">
        <v>48</v>
      </c>
      <c r="AE345" s="1" t="s">
        <v>48</v>
      </c>
    </row>
    <row r="346" spans="1:31" s="1" customFormat="1" ht="18.5" x14ac:dyDescent="0.45">
      <c r="A346" s="1" t="s">
        <v>7994</v>
      </c>
      <c r="B346" s="1" t="s">
        <v>7995</v>
      </c>
      <c r="C346" s="1" t="s">
        <v>7996</v>
      </c>
      <c r="D346" s="1" t="s">
        <v>4273</v>
      </c>
      <c r="E346" s="1" t="s">
        <v>53</v>
      </c>
      <c r="F346" s="1" t="s">
        <v>7997</v>
      </c>
      <c r="G346" s="1" t="s">
        <v>7998</v>
      </c>
      <c r="H346" s="1" t="s">
        <v>7999</v>
      </c>
      <c r="I346" s="2">
        <v>2024</v>
      </c>
      <c r="J346" s="1" t="s">
        <v>8000</v>
      </c>
      <c r="K346" s="1" t="s">
        <v>8001</v>
      </c>
      <c r="L346" s="1" t="s">
        <v>7899</v>
      </c>
      <c r="M346" s="1">
        <v>63</v>
      </c>
      <c r="N346" s="1">
        <v>3</v>
      </c>
      <c r="O346" s="1">
        <v>5</v>
      </c>
      <c r="P346" s="1">
        <v>13</v>
      </c>
      <c r="Q346" s="1" t="s">
        <v>4276</v>
      </c>
      <c r="R346" s="1" t="s">
        <v>4277</v>
      </c>
      <c r="S346" s="1" t="s">
        <v>4278</v>
      </c>
      <c r="T346" s="1" t="s">
        <v>4279</v>
      </c>
      <c r="U346" s="1" t="s">
        <v>48</v>
      </c>
      <c r="V346" s="1">
        <v>12</v>
      </c>
      <c r="W346" s="1" t="s">
        <v>48</v>
      </c>
      <c r="X346" s="1" t="s">
        <v>8002</v>
      </c>
      <c r="Y346" s="1" t="str">
        <f>HYPERLINK("http://dx.doi.org/10.1109/ACCESS.2024.3359587","http://dx.doi.org/10.1109/ACCESS.2024.3359587")</f>
        <v>http://dx.doi.org/10.1109/ACCESS.2024.3359587</v>
      </c>
      <c r="Z346" s="1">
        <v>21</v>
      </c>
      <c r="AA346" s="1" t="s">
        <v>4281</v>
      </c>
      <c r="AB346" s="1" t="s">
        <v>67</v>
      </c>
      <c r="AC346" s="1" t="s">
        <v>4282</v>
      </c>
      <c r="AD346" s="1" t="s">
        <v>48</v>
      </c>
      <c r="AE346" s="1" t="s">
        <v>125</v>
      </c>
    </row>
    <row r="347" spans="1:31" s="1" customFormat="1" ht="18.5" x14ac:dyDescent="0.45">
      <c r="A347" s="1" t="s">
        <v>8003</v>
      </c>
      <c r="B347" s="1" t="s">
        <v>8004</v>
      </c>
      <c r="C347" s="1" t="s">
        <v>8005</v>
      </c>
      <c r="D347" s="1" t="s">
        <v>697</v>
      </c>
      <c r="E347" s="1" t="s">
        <v>53</v>
      </c>
      <c r="F347" s="1" t="s">
        <v>8006</v>
      </c>
      <c r="G347" s="1" t="s">
        <v>8007</v>
      </c>
      <c r="H347" s="1" t="s">
        <v>8008</v>
      </c>
      <c r="I347" s="2">
        <v>2024</v>
      </c>
      <c r="J347" s="1" t="s">
        <v>8009</v>
      </c>
      <c r="K347" s="1" t="s">
        <v>8010</v>
      </c>
      <c r="L347" s="1" t="s">
        <v>8011</v>
      </c>
      <c r="M347" s="1">
        <v>85</v>
      </c>
      <c r="N347" s="1">
        <v>19</v>
      </c>
      <c r="O347" s="1">
        <v>11</v>
      </c>
      <c r="P347" s="1">
        <v>42</v>
      </c>
      <c r="Q347" s="1" t="s">
        <v>347</v>
      </c>
      <c r="R347" s="1" t="s">
        <v>348</v>
      </c>
      <c r="S347" s="1" t="s">
        <v>349</v>
      </c>
      <c r="T347" s="1" t="s">
        <v>703</v>
      </c>
      <c r="U347" s="1" t="s">
        <v>704</v>
      </c>
      <c r="V347" s="1">
        <v>32</v>
      </c>
      <c r="W347" s="1">
        <v>1</v>
      </c>
      <c r="X347" s="1" t="s">
        <v>8012</v>
      </c>
      <c r="Y347" s="1" t="str">
        <f>HYPERLINK("http://dx.doi.org/10.1002/sd.2722","http://dx.doi.org/10.1002/sd.2722")</f>
        <v>http://dx.doi.org/10.1002/sd.2722</v>
      </c>
      <c r="Z347" s="1">
        <v>12</v>
      </c>
      <c r="AA347" s="1" t="s">
        <v>706</v>
      </c>
      <c r="AB347" s="1" t="s">
        <v>106</v>
      </c>
      <c r="AC347" s="1" t="s">
        <v>707</v>
      </c>
      <c r="AD347" s="1" t="s">
        <v>48</v>
      </c>
      <c r="AE347" s="1" t="s">
        <v>48</v>
      </c>
    </row>
    <row r="348" spans="1:31" s="1" customFormat="1" ht="18.5" x14ac:dyDescent="0.45">
      <c r="A348" s="1" t="s">
        <v>8056</v>
      </c>
      <c r="B348" s="1" t="s">
        <v>8057</v>
      </c>
      <c r="C348" s="1" t="s">
        <v>8058</v>
      </c>
      <c r="D348" s="1" t="s">
        <v>1165</v>
      </c>
      <c r="E348" s="1" t="s">
        <v>53</v>
      </c>
      <c r="F348" s="1" t="s">
        <v>8059</v>
      </c>
      <c r="G348" s="1" t="s">
        <v>8060</v>
      </c>
      <c r="H348" s="1" t="s">
        <v>8061</v>
      </c>
      <c r="I348" s="2">
        <v>2024</v>
      </c>
      <c r="J348" s="1" t="s">
        <v>8062</v>
      </c>
      <c r="K348" s="1" t="s">
        <v>8063</v>
      </c>
      <c r="L348" s="1" t="s">
        <v>8064</v>
      </c>
      <c r="M348" s="1">
        <v>50</v>
      </c>
      <c r="N348" s="1">
        <v>18</v>
      </c>
      <c r="O348" s="1">
        <v>14</v>
      </c>
      <c r="P348" s="1">
        <v>42</v>
      </c>
      <c r="Q348" s="1" t="s">
        <v>1168</v>
      </c>
      <c r="R348" s="1" t="s">
        <v>504</v>
      </c>
      <c r="S348" s="1" t="s">
        <v>1169</v>
      </c>
      <c r="T348" s="1" t="s">
        <v>1170</v>
      </c>
      <c r="U348" s="1" t="s">
        <v>1171</v>
      </c>
      <c r="V348" s="1">
        <v>664</v>
      </c>
      <c r="W348" s="1" t="s">
        <v>48</v>
      </c>
      <c r="X348" s="1" t="s">
        <v>8065</v>
      </c>
      <c r="Y348" s="1" t="str">
        <f>HYPERLINK("http://dx.doi.org/10.1016/j.ins.2024.120326","http://dx.doi.org/10.1016/j.ins.2024.120326")</f>
        <v>http://dx.doi.org/10.1016/j.ins.2024.120326</v>
      </c>
      <c r="Z348" s="1">
        <v>22</v>
      </c>
      <c r="AA348" s="1" t="s">
        <v>291</v>
      </c>
      <c r="AB348" s="1" t="s">
        <v>67</v>
      </c>
      <c r="AC348" s="1" t="s">
        <v>292</v>
      </c>
      <c r="AD348" s="1" t="s">
        <v>48</v>
      </c>
      <c r="AE348" s="1" t="s">
        <v>1696</v>
      </c>
    </row>
    <row r="349" spans="1:31" s="1" customFormat="1" ht="18.5" x14ac:dyDescent="0.45">
      <c r="A349" s="1" t="s">
        <v>8072</v>
      </c>
      <c r="B349" s="1" t="s">
        <v>8073</v>
      </c>
      <c r="C349" s="1" t="s">
        <v>8074</v>
      </c>
      <c r="D349" s="1" t="s">
        <v>979</v>
      </c>
      <c r="E349" s="1" t="s">
        <v>53</v>
      </c>
      <c r="F349" s="1" t="s">
        <v>8075</v>
      </c>
      <c r="G349" s="1" t="s">
        <v>8076</v>
      </c>
      <c r="H349" s="1" t="s">
        <v>8077</v>
      </c>
      <c r="I349" s="2">
        <v>2024</v>
      </c>
      <c r="J349" s="1" t="s">
        <v>8078</v>
      </c>
      <c r="K349" s="1" t="s">
        <v>8079</v>
      </c>
      <c r="L349" s="1" t="s">
        <v>8080</v>
      </c>
      <c r="M349" s="1">
        <v>81</v>
      </c>
      <c r="N349" s="1">
        <v>6</v>
      </c>
      <c r="O349" s="1">
        <v>1</v>
      </c>
      <c r="P349" s="1">
        <v>3</v>
      </c>
      <c r="Q349" s="1" t="s">
        <v>198</v>
      </c>
      <c r="R349" s="1" t="s">
        <v>146</v>
      </c>
      <c r="S349" s="1" t="s">
        <v>199</v>
      </c>
      <c r="T349" s="1" t="s">
        <v>982</v>
      </c>
      <c r="U349" s="1" t="s">
        <v>983</v>
      </c>
      <c r="V349" s="1">
        <v>39</v>
      </c>
      <c r="W349" s="1">
        <v>1</v>
      </c>
      <c r="X349" s="1" t="s">
        <v>8081</v>
      </c>
      <c r="Y349" s="1" t="str">
        <f>HYPERLINK("http://dx.doi.org/10.1080/10106049.2024.2311202","http://dx.doi.org/10.1080/10106049.2024.2311202")</f>
        <v>http://dx.doi.org/10.1080/10106049.2024.2311202</v>
      </c>
      <c r="Z349" s="1">
        <v>21</v>
      </c>
      <c r="AA349" s="1" t="s">
        <v>988</v>
      </c>
      <c r="AB349" s="1" t="s">
        <v>67</v>
      </c>
      <c r="AC349" s="1" t="s">
        <v>989</v>
      </c>
      <c r="AD349" s="1" t="s">
        <v>48</v>
      </c>
      <c r="AE349" s="1" t="s">
        <v>125</v>
      </c>
    </row>
    <row r="350" spans="1:31" s="1" customFormat="1" ht="18.5" x14ac:dyDescent="0.45">
      <c r="A350" s="1" t="s">
        <v>8087</v>
      </c>
      <c r="B350" s="1" t="s">
        <v>8088</v>
      </c>
      <c r="C350" s="1" t="s">
        <v>8089</v>
      </c>
      <c r="D350" s="1" t="s">
        <v>711</v>
      </c>
      <c r="E350" s="1" t="s">
        <v>111</v>
      </c>
      <c r="F350" s="1" t="s">
        <v>8090</v>
      </c>
      <c r="G350" s="1" t="s">
        <v>8091</v>
      </c>
      <c r="H350" s="1" t="s">
        <v>8092</v>
      </c>
      <c r="I350" s="2">
        <v>2024</v>
      </c>
      <c r="J350" s="1" t="s">
        <v>8093</v>
      </c>
      <c r="K350" s="1" t="s">
        <v>8094</v>
      </c>
      <c r="L350" s="1" t="s">
        <v>8095</v>
      </c>
      <c r="M350" s="1">
        <v>101</v>
      </c>
      <c r="N350" s="1">
        <v>0</v>
      </c>
      <c r="O350" s="1">
        <v>6</v>
      </c>
      <c r="P350" s="1">
        <v>6</v>
      </c>
      <c r="Q350" s="1" t="s">
        <v>503</v>
      </c>
      <c r="R350" s="1" t="s">
        <v>542</v>
      </c>
      <c r="S350" s="1" t="s">
        <v>543</v>
      </c>
      <c r="T350" s="1" t="s">
        <v>717</v>
      </c>
      <c r="U350" s="1" t="s">
        <v>718</v>
      </c>
      <c r="V350" s="1" t="s">
        <v>48</v>
      </c>
      <c r="W350" s="1" t="s">
        <v>48</v>
      </c>
      <c r="X350" s="1" t="s">
        <v>8096</v>
      </c>
      <c r="Y350" s="1" t="str">
        <f>HYPERLINK("http://dx.doi.org/10.1007/s10668-024-05832-7","http://dx.doi.org/10.1007/s10668-024-05832-7")</f>
        <v>http://dx.doi.org/10.1007/s10668-024-05832-7</v>
      </c>
      <c r="Z350" s="1">
        <v>33</v>
      </c>
      <c r="AA350" s="1" t="s">
        <v>722</v>
      </c>
      <c r="AB350" s="1" t="s">
        <v>67</v>
      </c>
      <c r="AC350" s="1" t="s">
        <v>723</v>
      </c>
      <c r="AD350" s="1" t="s">
        <v>48</v>
      </c>
      <c r="AE350" s="1" t="s">
        <v>48</v>
      </c>
    </row>
    <row r="351" spans="1:31" s="1" customFormat="1" ht="18.5" x14ac:dyDescent="0.45">
      <c r="A351" s="1" t="s">
        <v>8105</v>
      </c>
      <c r="B351" s="1" t="s">
        <v>8106</v>
      </c>
      <c r="C351" s="1" t="s">
        <v>8107</v>
      </c>
      <c r="D351" s="1" t="s">
        <v>8015</v>
      </c>
      <c r="E351" s="1" t="s">
        <v>53</v>
      </c>
      <c r="F351" s="1" t="s">
        <v>8108</v>
      </c>
      <c r="G351" s="1" t="s">
        <v>8109</v>
      </c>
      <c r="H351" s="1" t="s">
        <v>8110</v>
      </c>
      <c r="I351" s="2">
        <v>2024</v>
      </c>
      <c r="J351" s="1" t="s">
        <v>8111</v>
      </c>
      <c r="K351" s="1" t="s">
        <v>8112</v>
      </c>
      <c r="L351" s="1" t="s">
        <v>8113</v>
      </c>
      <c r="M351" s="1">
        <v>85</v>
      </c>
      <c r="N351" s="1">
        <v>0</v>
      </c>
      <c r="O351" s="1">
        <v>3</v>
      </c>
      <c r="P351" s="1">
        <v>3</v>
      </c>
      <c r="Q351" s="1" t="s">
        <v>215</v>
      </c>
      <c r="R351" s="1" t="s">
        <v>158</v>
      </c>
      <c r="S351" s="1" t="s">
        <v>216</v>
      </c>
      <c r="T351" s="1" t="s">
        <v>8018</v>
      </c>
      <c r="U351" s="1" t="s">
        <v>8019</v>
      </c>
      <c r="V351" s="1">
        <v>136</v>
      </c>
      <c r="W351" s="1" t="s">
        <v>48</v>
      </c>
      <c r="X351" s="1" t="s">
        <v>8114</v>
      </c>
      <c r="Y351" s="1" t="str">
        <f>HYPERLINK("http://dx.doi.org/10.1016/j.pce.2024.103745","http://dx.doi.org/10.1016/j.pce.2024.103745")</f>
        <v>http://dx.doi.org/10.1016/j.pce.2024.103745</v>
      </c>
      <c r="Z351" s="1">
        <v>15</v>
      </c>
      <c r="AA351" s="1" t="s">
        <v>6923</v>
      </c>
      <c r="AB351" s="1" t="s">
        <v>67</v>
      </c>
      <c r="AC351" s="1" t="s">
        <v>6924</v>
      </c>
      <c r="AD351" s="1" t="s">
        <v>48</v>
      </c>
      <c r="AE351" s="1" t="s">
        <v>48</v>
      </c>
    </row>
    <row r="352" spans="1:31" s="1" customFormat="1" ht="18.5" x14ac:dyDescent="0.45">
      <c r="A352" s="1" t="s">
        <v>8140</v>
      </c>
      <c r="B352" s="1" t="s">
        <v>8141</v>
      </c>
      <c r="C352" s="1" t="s">
        <v>8142</v>
      </c>
      <c r="D352" s="1" t="s">
        <v>2702</v>
      </c>
      <c r="E352" s="1" t="s">
        <v>53</v>
      </c>
      <c r="F352" s="1" t="s">
        <v>48</v>
      </c>
      <c r="G352" s="1" t="s">
        <v>8143</v>
      </c>
      <c r="H352" s="1" t="s">
        <v>8144</v>
      </c>
      <c r="I352" s="2">
        <v>2024</v>
      </c>
      <c r="J352" s="1" t="s">
        <v>8145</v>
      </c>
      <c r="K352" s="1" t="s">
        <v>8146</v>
      </c>
      <c r="L352" s="1" t="s">
        <v>8147</v>
      </c>
      <c r="M352" s="1">
        <v>40</v>
      </c>
      <c r="N352" s="1">
        <v>0</v>
      </c>
      <c r="O352" s="1">
        <v>0</v>
      </c>
      <c r="P352" s="1">
        <v>0</v>
      </c>
      <c r="Q352" s="1" t="s">
        <v>1183</v>
      </c>
      <c r="R352" s="1" t="s">
        <v>1184</v>
      </c>
      <c r="S352" s="1" t="s">
        <v>1185</v>
      </c>
      <c r="T352" s="1" t="s">
        <v>2707</v>
      </c>
      <c r="U352" s="1" t="s">
        <v>48</v>
      </c>
      <c r="V352" s="1">
        <v>9</v>
      </c>
      <c r="W352" s="1">
        <v>44</v>
      </c>
      <c r="X352" s="1" t="s">
        <v>8148</v>
      </c>
      <c r="Y352" s="1" t="str">
        <f>HYPERLINK("http://dx.doi.org/10.1021/acsomega.4c06270","http://dx.doi.org/10.1021/acsomega.4c06270")</f>
        <v>http://dx.doi.org/10.1021/acsomega.4c06270</v>
      </c>
      <c r="Z352" s="1">
        <v>13</v>
      </c>
      <c r="AA352" s="1" t="s">
        <v>2292</v>
      </c>
      <c r="AB352" s="1" t="s">
        <v>67</v>
      </c>
      <c r="AC352" s="1" t="s">
        <v>2293</v>
      </c>
      <c r="AD352" s="1">
        <v>39524615</v>
      </c>
      <c r="AE352" s="1" t="s">
        <v>125</v>
      </c>
    </row>
    <row r="353" spans="1:31" s="1" customFormat="1" ht="18.5" x14ac:dyDescent="0.45">
      <c r="A353" s="1" t="s">
        <v>8155</v>
      </c>
      <c r="B353" s="1" t="s">
        <v>8156</v>
      </c>
      <c r="C353" s="1" t="s">
        <v>8157</v>
      </c>
      <c r="D353" s="1" t="s">
        <v>1273</v>
      </c>
      <c r="E353" s="1" t="s">
        <v>53</v>
      </c>
      <c r="F353" s="1" t="s">
        <v>8158</v>
      </c>
      <c r="G353" s="1" t="s">
        <v>8159</v>
      </c>
      <c r="H353" s="1" t="s">
        <v>8160</v>
      </c>
      <c r="I353" s="2">
        <v>2024</v>
      </c>
      <c r="J353" s="1" t="s">
        <v>8161</v>
      </c>
      <c r="K353" s="1" t="s">
        <v>8162</v>
      </c>
      <c r="L353" s="1" t="s">
        <v>8163</v>
      </c>
      <c r="M353" s="1">
        <v>81</v>
      </c>
      <c r="N353" s="1">
        <v>15</v>
      </c>
      <c r="O353" s="1">
        <v>3</v>
      </c>
      <c r="P353" s="1">
        <v>15</v>
      </c>
      <c r="Q353" s="1" t="s">
        <v>215</v>
      </c>
      <c r="R353" s="1" t="s">
        <v>158</v>
      </c>
      <c r="S353" s="1" t="s">
        <v>216</v>
      </c>
      <c r="T353" s="1" t="s">
        <v>1276</v>
      </c>
      <c r="U353" s="1" t="s">
        <v>1277</v>
      </c>
      <c r="V353" s="1">
        <v>132</v>
      </c>
      <c r="W353" s="1" t="s">
        <v>48</v>
      </c>
      <c r="X353" s="1" t="s">
        <v>8164</v>
      </c>
      <c r="Y353" s="1" t="str">
        <f>HYPERLINK("http://dx.doi.org/10.1016/j.engappai.2023.107837","http://dx.doi.org/10.1016/j.engappai.2023.107837")</f>
        <v>http://dx.doi.org/10.1016/j.engappai.2023.107837</v>
      </c>
      <c r="Z353" s="1">
        <v>16</v>
      </c>
      <c r="AA353" s="1" t="s">
        <v>1281</v>
      </c>
      <c r="AB353" s="1" t="s">
        <v>67</v>
      </c>
      <c r="AC353" s="1" t="s">
        <v>1282</v>
      </c>
      <c r="AD353" s="1" t="s">
        <v>48</v>
      </c>
      <c r="AE353" s="1" t="s">
        <v>48</v>
      </c>
    </row>
    <row r="354" spans="1:31" s="1" customFormat="1" ht="18.5" x14ac:dyDescent="0.45">
      <c r="A354" s="1" t="s">
        <v>8177</v>
      </c>
      <c r="B354" s="1" t="s">
        <v>8178</v>
      </c>
      <c r="C354" s="1" t="s">
        <v>8179</v>
      </c>
      <c r="D354" s="1" t="s">
        <v>711</v>
      </c>
      <c r="E354" s="1" t="s">
        <v>111</v>
      </c>
      <c r="F354" s="1" t="s">
        <v>8180</v>
      </c>
      <c r="G354" s="1" t="s">
        <v>8181</v>
      </c>
      <c r="H354" s="1" t="s">
        <v>8182</v>
      </c>
      <c r="I354" s="2">
        <v>2024</v>
      </c>
      <c r="J354" s="1" t="s">
        <v>8183</v>
      </c>
      <c r="K354" s="1" t="s">
        <v>8184</v>
      </c>
      <c r="L354" s="1" t="s">
        <v>8185</v>
      </c>
      <c r="M354" s="1">
        <v>52</v>
      </c>
      <c r="N354" s="1">
        <v>7</v>
      </c>
      <c r="O354" s="1">
        <v>35</v>
      </c>
      <c r="P354" s="1">
        <v>40</v>
      </c>
      <c r="Q354" s="1" t="s">
        <v>503</v>
      </c>
      <c r="R354" s="1" t="s">
        <v>542</v>
      </c>
      <c r="S354" s="1" t="s">
        <v>543</v>
      </c>
      <c r="T354" s="1" t="s">
        <v>717</v>
      </c>
      <c r="U354" s="1" t="s">
        <v>718</v>
      </c>
      <c r="V354" s="1" t="s">
        <v>48</v>
      </c>
      <c r="W354" s="1" t="s">
        <v>48</v>
      </c>
      <c r="X354" s="1" t="s">
        <v>8186</v>
      </c>
      <c r="Y354" s="1" t="str">
        <f>HYPERLINK("http://dx.doi.org/10.1007/s10668-024-05257-2","http://dx.doi.org/10.1007/s10668-024-05257-2")</f>
        <v>http://dx.doi.org/10.1007/s10668-024-05257-2</v>
      </c>
      <c r="Z354" s="1">
        <v>26</v>
      </c>
      <c r="AA354" s="1" t="s">
        <v>722</v>
      </c>
      <c r="AB354" s="1" t="s">
        <v>67</v>
      </c>
      <c r="AC354" s="1" t="s">
        <v>723</v>
      </c>
      <c r="AD354" s="1" t="s">
        <v>48</v>
      </c>
      <c r="AE354" s="1" t="s">
        <v>48</v>
      </c>
    </row>
    <row r="355" spans="1:31" s="1" customFormat="1" ht="18.5" x14ac:dyDescent="0.45">
      <c r="A355" s="1" t="s">
        <v>8187</v>
      </c>
      <c r="B355" s="1" t="s">
        <v>8188</v>
      </c>
      <c r="C355" s="1" t="s">
        <v>8189</v>
      </c>
      <c r="D355" s="1" t="s">
        <v>7478</v>
      </c>
      <c r="E355" s="1" t="s">
        <v>53</v>
      </c>
      <c r="F355" s="1" t="s">
        <v>8190</v>
      </c>
      <c r="G355" s="1" t="s">
        <v>8191</v>
      </c>
      <c r="H355" s="1" t="s">
        <v>8192</v>
      </c>
      <c r="I355" s="2">
        <v>2024</v>
      </c>
      <c r="J355" s="1" t="s">
        <v>8193</v>
      </c>
      <c r="K355" s="1" t="s">
        <v>8194</v>
      </c>
      <c r="L355" s="1" t="s">
        <v>8195</v>
      </c>
      <c r="M355" s="1">
        <v>98</v>
      </c>
      <c r="N355" s="1">
        <v>3</v>
      </c>
      <c r="O355" s="1">
        <v>10</v>
      </c>
      <c r="P355" s="1">
        <v>11</v>
      </c>
      <c r="Q355" s="1" t="s">
        <v>198</v>
      </c>
      <c r="R355" s="1" t="s">
        <v>146</v>
      </c>
      <c r="S355" s="1" t="s">
        <v>199</v>
      </c>
      <c r="T355" s="1" t="s">
        <v>7482</v>
      </c>
      <c r="U355" s="1" t="s">
        <v>7483</v>
      </c>
      <c r="V355" s="1">
        <v>15</v>
      </c>
      <c r="W355" s="1">
        <v>1</v>
      </c>
      <c r="X355" s="1" t="s">
        <v>8196</v>
      </c>
      <c r="Y355" s="1" t="str">
        <f>HYPERLINK("http://dx.doi.org/10.1080/19475705.2024.2381635","http://dx.doi.org/10.1080/19475705.2024.2381635")</f>
        <v>http://dx.doi.org/10.1080/19475705.2024.2381635</v>
      </c>
      <c r="Z355" s="1">
        <v>30</v>
      </c>
      <c r="AA355" s="1" t="s">
        <v>7487</v>
      </c>
      <c r="AB355" s="1" t="s">
        <v>67</v>
      </c>
      <c r="AC355" s="1" t="s">
        <v>7488</v>
      </c>
      <c r="AD355" s="1" t="s">
        <v>48</v>
      </c>
      <c r="AE355" s="1" t="s">
        <v>125</v>
      </c>
    </row>
    <row r="356" spans="1:31" s="1" customFormat="1" ht="18.5" x14ac:dyDescent="0.45">
      <c r="A356" s="1" t="s">
        <v>8197</v>
      </c>
      <c r="B356" s="1" t="s">
        <v>8198</v>
      </c>
      <c r="C356" s="1" t="s">
        <v>8199</v>
      </c>
      <c r="D356" s="1" t="s">
        <v>7478</v>
      </c>
      <c r="E356" s="1" t="s">
        <v>53</v>
      </c>
      <c r="F356" s="1" t="s">
        <v>8200</v>
      </c>
      <c r="G356" s="1" t="s">
        <v>8201</v>
      </c>
      <c r="H356" s="1" t="s">
        <v>8202</v>
      </c>
      <c r="I356" s="2">
        <v>2024</v>
      </c>
      <c r="J356" s="1" t="s">
        <v>8203</v>
      </c>
      <c r="K356" s="1" t="s">
        <v>8204</v>
      </c>
      <c r="L356" s="1" t="s">
        <v>8205</v>
      </c>
      <c r="M356" s="1">
        <v>83</v>
      </c>
      <c r="N356" s="1">
        <v>1</v>
      </c>
      <c r="O356" s="1">
        <v>14</v>
      </c>
      <c r="P356" s="1">
        <v>14</v>
      </c>
      <c r="Q356" s="1" t="s">
        <v>198</v>
      </c>
      <c r="R356" s="1" t="s">
        <v>146</v>
      </c>
      <c r="S356" s="1" t="s">
        <v>199</v>
      </c>
      <c r="T356" s="1" t="s">
        <v>7482</v>
      </c>
      <c r="U356" s="1" t="s">
        <v>7483</v>
      </c>
      <c r="V356" s="1">
        <v>15</v>
      </c>
      <c r="W356" s="1">
        <v>1</v>
      </c>
      <c r="X356" s="1" t="s">
        <v>8206</v>
      </c>
      <c r="Y356" s="1" t="str">
        <f>HYPERLINK("http://dx.doi.org/10.1080/19475705.2024.2409202","http://dx.doi.org/10.1080/19475705.2024.2409202")</f>
        <v>http://dx.doi.org/10.1080/19475705.2024.2409202</v>
      </c>
      <c r="Z356" s="1">
        <v>43</v>
      </c>
      <c r="AA356" s="1" t="s">
        <v>7487</v>
      </c>
      <c r="AB356" s="1" t="s">
        <v>67</v>
      </c>
      <c r="AC356" s="1" t="s">
        <v>7488</v>
      </c>
      <c r="AD356" s="1" t="s">
        <v>48</v>
      </c>
      <c r="AE356" s="1" t="s">
        <v>125</v>
      </c>
    </row>
    <row r="357" spans="1:31" s="1" customFormat="1" ht="18.5" x14ac:dyDescent="0.45">
      <c r="A357" s="1" t="s">
        <v>8207</v>
      </c>
      <c r="B357" s="1" t="s">
        <v>8208</v>
      </c>
      <c r="C357" s="1" t="s">
        <v>8209</v>
      </c>
      <c r="D357" s="1" t="s">
        <v>2984</v>
      </c>
      <c r="E357" s="1" t="s">
        <v>53</v>
      </c>
      <c r="F357" s="1" t="s">
        <v>8210</v>
      </c>
      <c r="G357" s="1" t="s">
        <v>8211</v>
      </c>
      <c r="H357" s="1" t="s">
        <v>8212</v>
      </c>
      <c r="I357" s="2">
        <v>2024</v>
      </c>
      <c r="J357" s="1" t="s">
        <v>8213</v>
      </c>
      <c r="K357" s="1" t="s">
        <v>8214</v>
      </c>
      <c r="L357" s="1" t="s">
        <v>7799</v>
      </c>
      <c r="M357" s="1">
        <v>109</v>
      </c>
      <c r="N357" s="1">
        <v>0</v>
      </c>
      <c r="O357" s="1">
        <v>4</v>
      </c>
      <c r="P357" s="1">
        <v>4</v>
      </c>
      <c r="Q357" s="1" t="s">
        <v>2989</v>
      </c>
      <c r="R357" s="1" t="s">
        <v>2990</v>
      </c>
      <c r="S357" s="1" t="s">
        <v>2991</v>
      </c>
      <c r="T357" s="1" t="s">
        <v>2992</v>
      </c>
      <c r="U357" s="1" t="s">
        <v>2993</v>
      </c>
      <c r="V357" s="1">
        <v>19</v>
      </c>
      <c r="W357" s="1">
        <v>20</v>
      </c>
      <c r="X357" s="1" t="s">
        <v>8215</v>
      </c>
      <c r="Y357" s="1" t="str">
        <f>HYPERLINK("http://dx.doi.org/10.1002/asia.202400284","http://dx.doi.org/10.1002/asia.202400284")</f>
        <v>http://dx.doi.org/10.1002/asia.202400284</v>
      </c>
      <c r="Z357" s="1">
        <v>18</v>
      </c>
      <c r="AA357" s="1" t="s">
        <v>2292</v>
      </c>
      <c r="AB357" s="1" t="s">
        <v>67</v>
      </c>
      <c r="AC357" s="1" t="s">
        <v>2293</v>
      </c>
      <c r="AD357" s="1">
        <v>38953124</v>
      </c>
      <c r="AE357" s="1" t="s">
        <v>48</v>
      </c>
    </row>
    <row r="358" spans="1:31" s="1" customFormat="1" ht="18.5" x14ac:dyDescent="0.45">
      <c r="A358" s="1" t="s">
        <v>8216</v>
      </c>
      <c r="B358" s="1" t="s">
        <v>8217</v>
      </c>
      <c r="C358" s="1" t="s">
        <v>8218</v>
      </c>
      <c r="D358" s="1" t="s">
        <v>8219</v>
      </c>
      <c r="E358" s="1" t="s">
        <v>53</v>
      </c>
      <c r="F358" s="1" t="s">
        <v>8220</v>
      </c>
      <c r="G358" s="1" t="s">
        <v>8221</v>
      </c>
      <c r="H358" s="1" t="s">
        <v>8222</v>
      </c>
      <c r="I358" s="2">
        <v>2024</v>
      </c>
      <c r="J358" s="1" t="s">
        <v>8223</v>
      </c>
      <c r="K358" s="1" t="s">
        <v>8224</v>
      </c>
      <c r="L358" s="1" t="s">
        <v>8225</v>
      </c>
      <c r="M358" s="1">
        <v>56</v>
      </c>
      <c r="N358" s="1">
        <v>2</v>
      </c>
      <c r="O358" s="1">
        <v>8</v>
      </c>
      <c r="P358" s="1">
        <v>9</v>
      </c>
      <c r="Q358" s="1" t="s">
        <v>8226</v>
      </c>
      <c r="R358" s="1" t="s">
        <v>1336</v>
      </c>
      <c r="S358" s="1" t="s">
        <v>8227</v>
      </c>
      <c r="T358" s="1" t="s">
        <v>8228</v>
      </c>
      <c r="U358" s="1" t="s">
        <v>8229</v>
      </c>
      <c r="V358" s="1">
        <v>17</v>
      </c>
      <c r="W358" s="1">
        <v>9</v>
      </c>
      <c r="X358" s="1" t="s">
        <v>8230</v>
      </c>
      <c r="Y358" s="1" t="str">
        <f>HYPERLINK("http://dx.doi.org/10.1007/s12273-024-1150-5","http://dx.doi.org/10.1007/s12273-024-1150-5")</f>
        <v>http://dx.doi.org/10.1007/s12273-024-1150-5</v>
      </c>
      <c r="Z358" s="1">
        <v>23</v>
      </c>
      <c r="AA358" s="1" t="s">
        <v>8231</v>
      </c>
      <c r="AB358" s="1" t="s">
        <v>67</v>
      </c>
      <c r="AC358" s="1" t="s">
        <v>8231</v>
      </c>
      <c r="AD358" s="1" t="s">
        <v>48</v>
      </c>
      <c r="AE358" s="1" t="s">
        <v>48</v>
      </c>
    </row>
    <row r="359" spans="1:31" s="1" customFormat="1" ht="18.5" x14ac:dyDescent="0.45">
      <c r="A359" s="1" t="s">
        <v>8242</v>
      </c>
      <c r="B359" s="1" t="s">
        <v>8243</v>
      </c>
      <c r="C359" s="1" t="s">
        <v>8244</v>
      </c>
      <c r="D359" s="1" t="s">
        <v>8245</v>
      </c>
      <c r="E359" s="1" t="s">
        <v>53</v>
      </c>
      <c r="F359" s="1" t="s">
        <v>8246</v>
      </c>
      <c r="G359" s="1" t="s">
        <v>8247</v>
      </c>
      <c r="H359" s="1" t="s">
        <v>8248</v>
      </c>
      <c r="I359" s="2">
        <v>2024</v>
      </c>
      <c r="J359" s="1" t="s">
        <v>8249</v>
      </c>
      <c r="K359" s="1" t="s">
        <v>8250</v>
      </c>
      <c r="L359" s="1" t="s">
        <v>8225</v>
      </c>
      <c r="M359" s="1">
        <v>87</v>
      </c>
      <c r="N359" s="1">
        <v>16</v>
      </c>
      <c r="O359" s="1">
        <v>9</v>
      </c>
      <c r="P359" s="1">
        <v>21</v>
      </c>
      <c r="Q359" s="1" t="s">
        <v>3024</v>
      </c>
      <c r="R359" s="1" t="s">
        <v>422</v>
      </c>
      <c r="S359" s="1" t="s">
        <v>3025</v>
      </c>
      <c r="T359" s="1" t="s">
        <v>8251</v>
      </c>
      <c r="U359" s="1" t="s">
        <v>8252</v>
      </c>
      <c r="V359" s="1">
        <v>302</v>
      </c>
      <c r="W359" s="1" t="s">
        <v>48</v>
      </c>
      <c r="X359" s="1" t="s">
        <v>8253</v>
      </c>
      <c r="Y359" s="1" t="str">
        <f>HYPERLINK("http://dx.doi.org/10.1016/j.enbuild.2023.113751","http://dx.doi.org/10.1016/j.enbuild.2023.113751")</f>
        <v>http://dx.doi.org/10.1016/j.enbuild.2023.113751</v>
      </c>
      <c r="Z359" s="1">
        <v>15</v>
      </c>
      <c r="AA359" s="1" t="s">
        <v>8254</v>
      </c>
      <c r="AB359" s="1" t="s">
        <v>67</v>
      </c>
      <c r="AC359" s="1" t="s">
        <v>8255</v>
      </c>
      <c r="AD359" s="1" t="s">
        <v>48</v>
      </c>
      <c r="AE359" s="1" t="s">
        <v>48</v>
      </c>
    </row>
    <row r="360" spans="1:31" s="1" customFormat="1" ht="18.5" x14ac:dyDescent="0.45">
      <c r="A360" s="1" t="s">
        <v>8289</v>
      </c>
      <c r="B360" s="1" t="s">
        <v>8290</v>
      </c>
      <c r="C360" s="1" t="s">
        <v>8291</v>
      </c>
      <c r="D360" s="1" t="s">
        <v>1273</v>
      </c>
      <c r="E360" s="1" t="s">
        <v>53</v>
      </c>
      <c r="F360" s="1" t="s">
        <v>8292</v>
      </c>
      <c r="G360" s="1" t="s">
        <v>8293</v>
      </c>
      <c r="H360" s="1" t="s">
        <v>8294</v>
      </c>
      <c r="I360" s="2">
        <v>2024</v>
      </c>
      <c r="J360" s="1" t="s">
        <v>8295</v>
      </c>
      <c r="K360" s="1" t="s">
        <v>8296</v>
      </c>
      <c r="L360" s="1" t="s">
        <v>8297</v>
      </c>
      <c r="M360" s="1">
        <v>49</v>
      </c>
      <c r="N360" s="1">
        <v>1</v>
      </c>
      <c r="O360" s="1">
        <v>1</v>
      </c>
      <c r="P360" s="1">
        <v>2</v>
      </c>
      <c r="Q360" s="1" t="s">
        <v>215</v>
      </c>
      <c r="R360" s="1" t="s">
        <v>158</v>
      </c>
      <c r="S360" s="1" t="s">
        <v>216</v>
      </c>
      <c r="T360" s="1" t="s">
        <v>1276</v>
      </c>
      <c r="U360" s="1" t="s">
        <v>1277</v>
      </c>
      <c r="V360" s="1">
        <v>136</v>
      </c>
      <c r="W360" s="1" t="s">
        <v>48</v>
      </c>
      <c r="X360" s="1" t="s">
        <v>8298</v>
      </c>
      <c r="Y360" s="1" t="str">
        <f>HYPERLINK("http://dx.doi.org/10.1016/j.engappai.2024.108878","http://dx.doi.org/10.1016/j.engappai.2024.108878")</f>
        <v>http://dx.doi.org/10.1016/j.engappai.2024.108878</v>
      </c>
      <c r="Z360" s="1">
        <v>21</v>
      </c>
      <c r="AA360" s="1" t="s">
        <v>1281</v>
      </c>
      <c r="AB360" s="1" t="s">
        <v>67</v>
      </c>
      <c r="AC360" s="1" t="s">
        <v>1282</v>
      </c>
      <c r="AD360" s="1" t="s">
        <v>48</v>
      </c>
      <c r="AE360" s="1" t="s">
        <v>48</v>
      </c>
    </row>
    <row r="361" spans="1:31" s="1" customFormat="1" ht="18.5" x14ac:dyDescent="0.45">
      <c r="A361" s="1" t="s">
        <v>8322</v>
      </c>
      <c r="B361" s="1" t="s">
        <v>8323</v>
      </c>
      <c r="C361" s="1" t="s">
        <v>8324</v>
      </c>
      <c r="D361" s="1" t="s">
        <v>8325</v>
      </c>
      <c r="E361" s="1" t="s">
        <v>53</v>
      </c>
      <c r="F361" s="1" t="s">
        <v>48</v>
      </c>
      <c r="G361" s="1" t="s">
        <v>8326</v>
      </c>
      <c r="H361" s="1" t="s">
        <v>8327</v>
      </c>
      <c r="I361" s="2">
        <v>2024</v>
      </c>
      <c r="J361" s="1" t="s">
        <v>8328</v>
      </c>
      <c r="K361" s="1" t="s">
        <v>8329</v>
      </c>
      <c r="L361" s="1" t="s">
        <v>8330</v>
      </c>
      <c r="M361" s="1">
        <v>54</v>
      </c>
      <c r="N361" s="1">
        <v>2</v>
      </c>
      <c r="O361" s="1">
        <v>4</v>
      </c>
      <c r="P361" s="1">
        <v>8</v>
      </c>
      <c r="Q361" s="1" t="s">
        <v>1523</v>
      </c>
      <c r="R361" s="1" t="s">
        <v>632</v>
      </c>
      <c r="S361" s="1" t="s">
        <v>1524</v>
      </c>
      <c r="T361" s="1" t="s">
        <v>48</v>
      </c>
      <c r="U361" s="1" t="s">
        <v>8331</v>
      </c>
      <c r="V361" s="1">
        <v>5</v>
      </c>
      <c r="W361" s="1">
        <v>1</v>
      </c>
      <c r="X361" s="1" t="s">
        <v>8332</v>
      </c>
      <c r="Y361" s="1" t="str">
        <f>HYPERLINK("http://dx.doi.org/10.1038/s43247-024-01414-7","http://dx.doi.org/10.1038/s43247-024-01414-7")</f>
        <v>http://dx.doi.org/10.1038/s43247-024-01414-7</v>
      </c>
      <c r="Z361" s="1">
        <v>8</v>
      </c>
      <c r="AA361" s="1" t="s">
        <v>8333</v>
      </c>
      <c r="AB361" s="1" t="s">
        <v>67</v>
      </c>
      <c r="AC361" s="1" t="s">
        <v>8334</v>
      </c>
      <c r="AD361" s="1" t="s">
        <v>48</v>
      </c>
      <c r="AE361" s="1" t="s">
        <v>337</v>
      </c>
    </row>
    <row r="362" spans="1:31" s="1" customFormat="1" ht="18.5" x14ac:dyDescent="0.45">
      <c r="A362" s="1" t="s">
        <v>8341</v>
      </c>
      <c r="B362" s="1" t="s">
        <v>8342</v>
      </c>
      <c r="C362" s="1" t="s">
        <v>8343</v>
      </c>
      <c r="D362" s="1" t="s">
        <v>8344</v>
      </c>
      <c r="E362" s="1" t="s">
        <v>53</v>
      </c>
      <c r="F362" s="1" t="s">
        <v>8345</v>
      </c>
      <c r="G362" s="1" t="s">
        <v>8346</v>
      </c>
      <c r="H362" s="1" t="s">
        <v>8347</v>
      </c>
      <c r="I362" s="2">
        <v>2024</v>
      </c>
      <c r="J362" s="1" t="s">
        <v>8348</v>
      </c>
      <c r="K362" s="1" t="s">
        <v>8349</v>
      </c>
      <c r="L362" s="1" t="s">
        <v>8350</v>
      </c>
      <c r="M362" s="1">
        <v>82</v>
      </c>
      <c r="N362" s="1">
        <v>1</v>
      </c>
      <c r="O362" s="1">
        <v>11</v>
      </c>
      <c r="P362" s="1">
        <v>12</v>
      </c>
      <c r="Q362" s="1" t="s">
        <v>631</v>
      </c>
      <c r="R362" s="1" t="s">
        <v>632</v>
      </c>
      <c r="S362" s="1" t="s">
        <v>633</v>
      </c>
      <c r="T362" s="1" t="s">
        <v>8351</v>
      </c>
      <c r="U362" s="1" t="s">
        <v>8352</v>
      </c>
      <c r="V362" s="1">
        <v>31</v>
      </c>
      <c r="W362" s="1">
        <v>1</v>
      </c>
      <c r="X362" s="1" t="s">
        <v>8353</v>
      </c>
      <c r="Y362" s="1" t="str">
        <f>HYPERLINK("http://dx.doi.org/10.1186/s12929-024-01069-8","http://dx.doi.org/10.1186/s12929-024-01069-8")</f>
        <v>http://dx.doi.org/10.1186/s12929-024-01069-8</v>
      </c>
      <c r="Z362" s="1">
        <v>29</v>
      </c>
      <c r="AA362" s="1" t="s">
        <v>8354</v>
      </c>
      <c r="AB362" s="1" t="s">
        <v>67</v>
      </c>
      <c r="AC362" s="1" t="s">
        <v>8355</v>
      </c>
      <c r="AD362" s="1">
        <v>39164686</v>
      </c>
      <c r="AE362" s="1" t="s">
        <v>366</v>
      </c>
    </row>
    <row r="363" spans="1:31" s="1" customFormat="1" ht="18.5" x14ac:dyDescent="0.45">
      <c r="A363" s="1" t="s">
        <v>8392</v>
      </c>
      <c r="B363" s="1" t="s">
        <v>8393</v>
      </c>
      <c r="C363" s="1" t="s">
        <v>8394</v>
      </c>
      <c r="D363" s="1" t="s">
        <v>8395</v>
      </c>
      <c r="E363" s="1" t="s">
        <v>53</v>
      </c>
      <c r="F363" s="1" t="s">
        <v>8396</v>
      </c>
      <c r="G363" s="1" t="s">
        <v>48</v>
      </c>
      <c r="H363" s="1" t="s">
        <v>8397</v>
      </c>
      <c r="I363" s="2">
        <v>2024</v>
      </c>
      <c r="J363" s="1" t="s">
        <v>8398</v>
      </c>
      <c r="K363" s="1" t="s">
        <v>8399</v>
      </c>
      <c r="L363" s="1" t="s">
        <v>8400</v>
      </c>
      <c r="M363" s="1">
        <v>94</v>
      </c>
      <c r="N363" s="1">
        <v>3</v>
      </c>
      <c r="O363" s="1">
        <v>5</v>
      </c>
      <c r="P363" s="1">
        <v>5</v>
      </c>
      <c r="Q363" s="1" t="s">
        <v>503</v>
      </c>
      <c r="R363" s="1" t="s">
        <v>504</v>
      </c>
      <c r="S363" s="1" t="s">
        <v>505</v>
      </c>
      <c r="T363" s="1" t="s">
        <v>8401</v>
      </c>
      <c r="U363" s="1" t="s">
        <v>8402</v>
      </c>
      <c r="V363" s="1">
        <v>36</v>
      </c>
      <c r="W363" s="1">
        <v>1</v>
      </c>
      <c r="X363" s="1" t="s">
        <v>8403</v>
      </c>
      <c r="Y363" s="1" t="str">
        <f>HYPERLINK("http://dx.doi.org/10.1186/s12302-024-00981-y","http://dx.doi.org/10.1186/s12302-024-00981-y")</f>
        <v>http://dx.doi.org/10.1186/s12302-024-00981-y</v>
      </c>
      <c r="Z363" s="1">
        <v>28</v>
      </c>
      <c r="AA363" s="1" t="s">
        <v>438</v>
      </c>
      <c r="AB363" s="1" t="s">
        <v>67</v>
      </c>
      <c r="AC363" s="1" t="s">
        <v>439</v>
      </c>
      <c r="AD363" s="1" t="s">
        <v>48</v>
      </c>
      <c r="AE363" s="1"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2021</vt:lpstr>
      <vt:lpstr>2022</vt:lpstr>
      <vt:lpstr>2023</vt:lpstr>
      <vt:lpstr>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ICSSR PROJ 24</dc:creator>
  <cp:lastModifiedBy>System Analyst</cp:lastModifiedBy>
  <dcterms:created xsi:type="dcterms:W3CDTF">2025-03-05T16:27:28Z</dcterms:created>
  <dcterms:modified xsi:type="dcterms:W3CDTF">2025-03-10T05:45:09Z</dcterms:modified>
</cp:coreProperties>
</file>